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2 NIRS Requests\22-095 ADS-B N162AM\"/>
    </mc:Choice>
  </mc:AlternateContent>
  <bookViews>
    <workbookView xWindow="0" yWindow="0" windowWidth="23016" windowHeight="8568"/>
  </bookViews>
  <sheets>
    <sheet name="20211216_A0F928_472048520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W8" i="1"/>
  <c r="A9" i="1"/>
  <c r="C9" i="1"/>
  <c r="S9" i="1"/>
  <c r="T9" i="1"/>
  <c r="U9" i="1"/>
  <c r="BW9" i="1"/>
  <c r="A10" i="1"/>
  <c r="C10" i="1"/>
  <c r="S10" i="1"/>
  <c r="T10" i="1"/>
  <c r="U10" i="1"/>
  <c r="BW10" i="1"/>
  <c r="A11" i="1"/>
  <c r="C11" i="1"/>
  <c r="S11" i="1"/>
  <c r="T11" i="1"/>
  <c r="U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U1233" i="1"/>
  <c r="BB1233" i="1"/>
  <c r="BW1233" i="1"/>
  <c r="A1234" i="1"/>
  <c r="C1234" i="1"/>
  <c r="S1234" i="1"/>
  <c r="U1234" i="1"/>
  <c r="BB1234" i="1"/>
  <c r="BW1234" i="1"/>
  <c r="A1235" i="1"/>
  <c r="C1235" i="1"/>
  <c r="S1235" i="1"/>
  <c r="U1235" i="1"/>
  <c r="BB1235" i="1"/>
  <c r="BW1235" i="1"/>
  <c r="A1236" i="1"/>
  <c r="C1236" i="1"/>
  <c r="S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W1318" i="1"/>
  <c r="A1319" i="1"/>
  <c r="C1319" i="1"/>
  <c r="S1319" i="1"/>
  <c r="T1319" i="1"/>
  <c r="U1319" i="1"/>
  <c r="BW1319" i="1"/>
  <c r="A1320" i="1"/>
  <c r="C1320" i="1"/>
  <c r="S1320" i="1"/>
  <c r="T1320" i="1"/>
  <c r="U1320" i="1"/>
  <c r="BW1320" i="1"/>
  <c r="A1321" i="1"/>
  <c r="C1321" i="1"/>
  <c r="S1321" i="1"/>
  <c r="T1321" i="1"/>
  <c r="U1321" i="1"/>
  <c r="BW1321" i="1"/>
  <c r="A1322" i="1"/>
  <c r="C1322" i="1"/>
  <c r="S1322" i="1"/>
  <c r="T1322" i="1"/>
  <c r="U1322" i="1"/>
  <c r="BW1322" i="1"/>
  <c r="A1323" i="1"/>
  <c r="C1323" i="1"/>
  <c r="S1323" i="1"/>
  <c r="T1323" i="1"/>
  <c r="U1323" i="1"/>
  <c r="BW1323" i="1"/>
  <c r="A1324" i="1"/>
  <c r="C1324" i="1"/>
  <c r="S1324" i="1"/>
  <c r="T1324" i="1"/>
  <c r="U1324" i="1"/>
  <c r="BW1324" i="1"/>
  <c r="A1325" i="1"/>
  <c r="C1325" i="1"/>
  <c r="S1325" i="1"/>
  <c r="T1325" i="1"/>
  <c r="U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T2285" i="1"/>
  <c r="U2285" i="1"/>
  <c r="BB2285" i="1"/>
  <c r="BW2285" i="1"/>
</calcChain>
</file>

<file path=xl/sharedStrings.xml><?xml version="1.0" encoding="utf-8"?>
<sst xmlns="http://schemas.openxmlformats.org/spreadsheetml/2006/main" count="16101" uniqueCount="1176">
  <si>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</si>
  <si>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</si>
  <si>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</si>
  <si>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</si>
  <si>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</si>
  <si>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</si>
  <si>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</si>
  <si>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</si>
  <si>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</si>
  <si>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</si>
  <si>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</si>
  <si>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</si>
  <si>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</si>
  <si>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</si>
  <si>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</si>
  <si>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</si>
  <si>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</si>
  <si>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</si>
  <si>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</si>
  <si>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</si>
  <si>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</si>
  <si>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</si>
  <si>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</si>
  <si>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</si>
  <si>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</si>
  <si>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</si>
  <si>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</si>
  <si>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</si>
  <si>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</si>
  <si>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</si>
  <si>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</si>
  <si>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</si>
  <si>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</si>
  <si>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</si>
  <si>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</si>
  <si>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</si>
  <si>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</si>
  <si>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</si>
  <si>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</si>
  <si>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</si>
  <si>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</si>
  <si>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</si>
  <si>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</si>
  <si>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</si>
  <si>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</si>
  <si>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</si>
  <si>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</si>
  <si>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</si>
  <si>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</si>
  <si>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</si>
  <si>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</si>
  <si>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</si>
  <si>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</si>
  <si>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</si>
  <si>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</si>
  <si>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</si>
  <si>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</si>
  <si>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</si>
  <si>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</si>
  <si>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</si>
  <si>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</si>
  <si>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</si>
  <si>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</si>
  <si>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</si>
  <si>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</si>
  <si>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</si>
  <si>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</si>
  <si>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</si>
  <si>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</si>
  <si>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</si>
  <si>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</si>
  <si>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</si>
  <si>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</si>
  <si>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</si>
  <si>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</si>
  <si>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</si>
  <si>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</si>
  <si>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</si>
  <si>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</si>
  <si>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</si>
  <si>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</si>
  <si>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</si>
  <si>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</si>
  <si>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</si>
  <si>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</si>
  <si>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</si>
  <si>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</si>
  <si>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</si>
  <si>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</si>
  <si>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</si>
  <si>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</si>
  <si>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</si>
  <si>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</si>
  <si>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</si>
  <si>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</si>
  <si>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</si>
  <si>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</si>
  <si>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</si>
  <si>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</si>
  <si>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</si>
  <si>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</si>
  <si>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</si>
  <si>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</si>
  <si>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</si>
  <si>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</si>
  <si>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</si>
  <si>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</si>
  <si>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</si>
  <si>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</si>
  <si>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</si>
  <si>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</si>
  <si>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</si>
  <si>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</si>
  <si>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AA</t>
  </si>
  <si>
    <t>Atlanta</t>
  </si>
  <si>
    <t>Enroute</t>
  </si>
  <si>
    <t>035:47:59.54 N</t>
  </si>
  <si>
    <t>084:00:14.77 W</t>
  </si>
  <si>
    <t>GNSS</t>
  </si>
  <si>
    <t>RS - HP 1090 Multi Chl Radio</t>
  </si>
  <si>
    <t>035:47:57.84 N</t>
  </si>
  <si>
    <t>084:00:16.63 W</t>
  </si>
  <si>
    <t>035:47:55.22 N</t>
  </si>
  <si>
    <t>084:00:19.72 W</t>
  </si>
  <si>
    <t>C1</t>
  </si>
  <si>
    <t>EnrouteCTV</t>
  </si>
  <si>
    <t>035:47:52.74 N</t>
  </si>
  <si>
    <t>084:00:22.19 W</t>
  </si>
  <si>
    <t>035:47:53.67 N</t>
  </si>
  <si>
    <t>084:00:21.26 W</t>
  </si>
  <si>
    <t>Indianapolis</t>
  </si>
  <si>
    <t>035:47:51.74 N</t>
  </si>
  <si>
    <t>084:00:23.19 W</t>
  </si>
  <si>
    <t>AC</t>
  </si>
  <si>
    <t>Knoxville</t>
  </si>
  <si>
    <t>Terminal</t>
  </si>
  <si>
    <t>035:47:49.27 N</t>
  </si>
  <si>
    <t>084:00:25.90 W</t>
  </si>
  <si>
    <t>035:47:46.87 N</t>
  </si>
  <si>
    <t>084:00:28.45 W</t>
  </si>
  <si>
    <t>035:47:44.87 N</t>
  </si>
  <si>
    <t>084:00:30.61 W</t>
  </si>
  <si>
    <t>035:47:43.01 N</t>
  </si>
  <si>
    <t>084:00:32.39 W</t>
  </si>
  <si>
    <t>035:47:41.00 N</t>
  </si>
  <si>
    <t>084:00:34.70 W</t>
  </si>
  <si>
    <t>035:47:37.45 N</t>
  </si>
  <si>
    <t>084:00:38.10 W</t>
  </si>
  <si>
    <t>035:47:35.90 N</t>
  </si>
  <si>
    <t>084:00:39.57 W</t>
  </si>
  <si>
    <t>035:47:34.28 N</t>
  </si>
  <si>
    <t>084:00:40.88 W</t>
  </si>
  <si>
    <t>035:47:32.12 N</t>
  </si>
  <si>
    <t>084:00:42.51 W</t>
  </si>
  <si>
    <t>035:47:30.11 N</t>
  </si>
  <si>
    <t>084:00:43.97 W</t>
  </si>
  <si>
    <t>035:47:28.10 N</t>
  </si>
  <si>
    <t>084:00:45.21 W</t>
  </si>
  <si>
    <t>035:47:25.71 N</t>
  </si>
  <si>
    <t>084:00:46.29 W</t>
  </si>
  <si>
    <t>035:47:23.85 N</t>
  </si>
  <si>
    <t>084:00:47.14 W</t>
  </si>
  <si>
    <t>035:47:21.69 N</t>
  </si>
  <si>
    <t>084:00:47.99 W</t>
  </si>
  <si>
    <t>035:47:19.53 N</t>
  </si>
  <si>
    <t>084:00:48.61 W</t>
  </si>
  <si>
    <t>035:47:15.12 N</t>
  </si>
  <si>
    <t>084:00:49.69 W</t>
  </si>
  <si>
    <t>035:47:13.19 N</t>
  </si>
  <si>
    <t>084:00:50.00 W</t>
  </si>
  <si>
    <t>035:47:10.88 N</t>
  </si>
  <si>
    <t>035:47:08.79 N</t>
  </si>
  <si>
    <t>084:00:50.15 W</t>
  </si>
  <si>
    <t>035:47:06.47 N</t>
  </si>
  <si>
    <t>035:47:04.31 N</t>
  </si>
  <si>
    <t>084:00:49.77 W</t>
  </si>
  <si>
    <t>035:47:02.15 N</t>
  </si>
  <si>
    <t>084:00:49.54 W</t>
  </si>
  <si>
    <t>035:47:00.06 N</t>
  </si>
  <si>
    <t>084:00:49.00 W</t>
  </si>
  <si>
    <t>035:46:56.74 N</t>
  </si>
  <si>
    <t>084:00:48.15 W</t>
  </si>
  <si>
    <t>035:46:54.58 N</t>
  </si>
  <si>
    <t>084:00:47.37 W</t>
  </si>
  <si>
    <t>035:46:49.94 N</t>
  </si>
  <si>
    <t>035:46:45.00 N</t>
  </si>
  <si>
    <t>084:00:41.89 W</t>
  </si>
  <si>
    <t>035:46:43.14 N</t>
  </si>
  <si>
    <t>084:00:40.42 W</t>
  </si>
  <si>
    <t>035:46:41.37 N</t>
  </si>
  <si>
    <t>084:00:39.03 W</t>
  </si>
  <si>
    <t>035:46:39.44 N</t>
  </si>
  <si>
    <t>084:00:37.02 W</t>
  </si>
  <si>
    <t>035:46:37.66 N</t>
  </si>
  <si>
    <t>084:00:35.17 W</t>
  </si>
  <si>
    <t>035:46:35.34 N</t>
  </si>
  <si>
    <t>084:00:32.23 W</t>
  </si>
  <si>
    <t>035:46:33.64 N</t>
  </si>
  <si>
    <t>084:00:30.22 W</t>
  </si>
  <si>
    <t>035:46:32.25 N</t>
  </si>
  <si>
    <t>084:00:28.22 W</t>
  </si>
  <si>
    <t>035:46:30.94 N</t>
  </si>
  <si>
    <t>084:00:26.13 W</t>
  </si>
  <si>
    <t>035:46:28.93 N</t>
  </si>
  <si>
    <t>084:00:22.35 W</t>
  </si>
  <si>
    <t>035:46:27.69 N</t>
  </si>
  <si>
    <t>035:46:26.69 N</t>
  </si>
  <si>
    <t>084:00:17.48 W</t>
  </si>
  <si>
    <t>035:46:25.92 N</t>
  </si>
  <si>
    <t>084:00:15.39 W</t>
  </si>
  <si>
    <t>035:46:25.07 N</t>
  </si>
  <si>
    <t>084:00:12.46 W</t>
  </si>
  <si>
    <t>035:46:24.30 N</t>
  </si>
  <si>
    <t>084:00:09.60 W</t>
  </si>
  <si>
    <t>035:46:23.68 N</t>
  </si>
  <si>
    <t>084:00:06.51 W</t>
  </si>
  <si>
    <t>035:46:23.37 N</t>
  </si>
  <si>
    <t>084:00:03.81 W</t>
  </si>
  <si>
    <t>035:46:23.06 N</t>
  </si>
  <si>
    <t>083:59:59.40 W</t>
  </si>
  <si>
    <t>035:46:23.14 N</t>
  </si>
  <si>
    <t>083:59:56.24 W</t>
  </si>
  <si>
    <t>035:46:23.45 N</t>
  </si>
  <si>
    <t>083:59:51.68 W</t>
  </si>
  <si>
    <t>083:59:49.05 W</t>
  </si>
  <si>
    <t>035:46:24.45 N</t>
  </si>
  <si>
    <t>083:59:45.88 W</t>
  </si>
  <si>
    <t>083:59:43.26 W</t>
  </si>
  <si>
    <t>083:59:40.32 W</t>
  </si>
  <si>
    <t>035:46:26.92 N</t>
  </si>
  <si>
    <t>083:59:37.46 W</t>
  </si>
  <si>
    <t>035:46:28.08 N</t>
  </si>
  <si>
    <t>083:59:34.53 W</t>
  </si>
  <si>
    <t>035:46:29.24 N</t>
  </si>
  <si>
    <t>083:59:32.06 W</t>
  </si>
  <si>
    <t>035:46:30.55 N</t>
  </si>
  <si>
    <t>083:59:29.28 W</t>
  </si>
  <si>
    <t>035:46:31.94 N</t>
  </si>
  <si>
    <t>083:59:26.96 W</t>
  </si>
  <si>
    <t>035:46:33.41 N</t>
  </si>
  <si>
    <t>083:59:24.49 W</t>
  </si>
  <si>
    <t>035:46:34.96 N</t>
  </si>
  <si>
    <t>083:59:22.17 W</t>
  </si>
  <si>
    <t>035:46:37.27 N</t>
  </si>
  <si>
    <t>083:59:19.00 W</t>
  </si>
  <si>
    <t>035:46:38.97 N</t>
  </si>
  <si>
    <t>083:59:16.92 W</t>
  </si>
  <si>
    <t>035:46:40.90 N</t>
  </si>
  <si>
    <t>083:59:14.37 W</t>
  </si>
  <si>
    <t>035:46:43.38 N</t>
  </si>
  <si>
    <t>083:59:11.74 W</t>
  </si>
  <si>
    <t>035:46:45.31 N</t>
  </si>
  <si>
    <t>083:59:09.50 W</t>
  </si>
  <si>
    <t>035:46:47.01 N</t>
  </si>
  <si>
    <t>083:59:07.80 W</t>
  </si>
  <si>
    <t>035:46:49.02 N</t>
  </si>
  <si>
    <t>083:59:05.95 W</t>
  </si>
  <si>
    <t>035:46:50.71 N</t>
  </si>
  <si>
    <t>083:59:04.25 W</t>
  </si>
  <si>
    <t>035:46:52.57 N</t>
  </si>
  <si>
    <t>083:59:02.39 W</t>
  </si>
  <si>
    <t>035:46:54.27 N</t>
  </si>
  <si>
    <t>083:59:00.62 W</t>
  </si>
  <si>
    <t>035:46:55.89 N</t>
  </si>
  <si>
    <t>083:58:58.99 W</t>
  </si>
  <si>
    <t>035:46:57.74 N</t>
  </si>
  <si>
    <t>083:58:57.14 W</t>
  </si>
  <si>
    <t>035:46:59.83 N</t>
  </si>
  <si>
    <t>083:58:55.06 W</t>
  </si>
  <si>
    <t>035:47:01.68 N</t>
  </si>
  <si>
    <t>083:58:53.36 W</t>
  </si>
  <si>
    <t>035:47:03.77 N</t>
  </si>
  <si>
    <t>083:58:51.19 W</t>
  </si>
  <si>
    <t>035:47:05.78 N</t>
  </si>
  <si>
    <t>083:58:49.26 W</t>
  </si>
  <si>
    <t>035:47:07.79 N</t>
  </si>
  <si>
    <t>083:58:47.41 W</t>
  </si>
  <si>
    <t>035:47:09.56 N</t>
  </si>
  <si>
    <t>083:58:45.55 W</t>
  </si>
  <si>
    <t>035:47:11.96 N</t>
  </si>
  <si>
    <t>083:58:43.24 W</t>
  </si>
  <si>
    <t>035:47:13.89 N</t>
  </si>
  <si>
    <t>083:58:41.23 W</t>
  </si>
  <si>
    <t>035:47:15.82 N</t>
  </si>
  <si>
    <t>083:58:39.37 W</t>
  </si>
  <si>
    <t>035:47:17.52 N</t>
  </si>
  <si>
    <t>083:58:37.75 W</t>
  </si>
  <si>
    <t>035:47:19.14 N</t>
  </si>
  <si>
    <t>083:58:36.05 W</t>
  </si>
  <si>
    <t>035:47:20.69 N</t>
  </si>
  <si>
    <t>083:58:34.35 W</t>
  </si>
  <si>
    <t>035:47:22.77 N</t>
  </si>
  <si>
    <t>083:58:32.34 W</t>
  </si>
  <si>
    <t>035:47:24.70 N</t>
  </si>
  <si>
    <t>083:58:30.41 W</t>
  </si>
  <si>
    <t>035:47:26.56 N</t>
  </si>
  <si>
    <t>083:58:28.48 W</t>
  </si>
  <si>
    <t>035:47:29.18 N</t>
  </si>
  <si>
    <t>083:58:26.01 W</t>
  </si>
  <si>
    <t>035:47:30.88 N</t>
  </si>
  <si>
    <t>083:58:24.31 W</t>
  </si>
  <si>
    <t>035:47:32.81 N</t>
  </si>
  <si>
    <t>083:58:22.30 W</t>
  </si>
  <si>
    <t>035:47:34.67 N</t>
  </si>
  <si>
    <t>083:58:20.60 W</t>
  </si>
  <si>
    <t>035:47:37.30 N</t>
  </si>
  <si>
    <t>083:58:17.98 W</t>
  </si>
  <si>
    <t>035:47:38.92 N</t>
  </si>
  <si>
    <t>083:58:16.28 W</t>
  </si>
  <si>
    <t>035:47:40.77 N</t>
  </si>
  <si>
    <t>083:58:14.42 W</t>
  </si>
  <si>
    <t>035:47:42.47 N</t>
  </si>
  <si>
    <t>083:58:12.72 W</t>
  </si>
  <si>
    <t>035:47:45.02 N</t>
  </si>
  <si>
    <t>083:58:10.17 W</t>
  </si>
  <si>
    <t>035:47:47.18 N</t>
  </si>
  <si>
    <t>083:58:08.09 W</t>
  </si>
  <si>
    <t>035:47:48.88 N</t>
  </si>
  <si>
    <t>083:58:06.39 W</t>
  </si>
  <si>
    <t>035:47:50.27 N</t>
  </si>
  <si>
    <t>083:58:04.77 W</t>
  </si>
  <si>
    <t>035:47:51.97 N</t>
  </si>
  <si>
    <t>083:58:02.91 W</t>
  </si>
  <si>
    <t>083:57:59.67 W</t>
  </si>
  <si>
    <t>035:47:57.07 N</t>
  </si>
  <si>
    <t>083:57:57.58 W</t>
  </si>
  <si>
    <t>035:47:58.69 N</t>
  </si>
  <si>
    <t>083:57:55.73 W</t>
  </si>
  <si>
    <t>035:48:00.24 N</t>
  </si>
  <si>
    <t>083:57:54.18 W</t>
  </si>
  <si>
    <t>035:48:01.94 N</t>
  </si>
  <si>
    <t>083:57:52.33 W</t>
  </si>
  <si>
    <t>035:48:03.95 N</t>
  </si>
  <si>
    <t>083:57:49.94 W</t>
  </si>
  <si>
    <t>035:48:05.64 N</t>
  </si>
  <si>
    <t>083:57:48.08 W</t>
  </si>
  <si>
    <t>035:48:09.04 N</t>
  </si>
  <si>
    <t>083:57:44.14 W</t>
  </si>
  <si>
    <t>035:48:10.74 N</t>
  </si>
  <si>
    <t>083:57:42.29 W</t>
  </si>
  <si>
    <t>035:48:12.37 N</t>
  </si>
  <si>
    <t>083:57:40.43 W</t>
  </si>
  <si>
    <t>035:48:13.99 N</t>
  </si>
  <si>
    <t>083:57:38.43 W</t>
  </si>
  <si>
    <t>035:48:15.84 N</t>
  </si>
  <si>
    <t>083:57:36.34 W</t>
  </si>
  <si>
    <t>035:48:17.15 N</t>
  </si>
  <si>
    <t>083:57:34.64 W</t>
  </si>
  <si>
    <t>035:48:18.78 N</t>
  </si>
  <si>
    <t>083:57:32.63 W</t>
  </si>
  <si>
    <t>035:48:20.17 N</t>
  </si>
  <si>
    <t>083:57:30.86 W</t>
  </si>
  <si>
    <t>035:48:21.94 N</t>
  </si>
  <si>
    <t>083:57:28.92 W</t>
  </si>
  <si>
    <t>035:48:23.18 N</t>
  </si>
  <si>
    <t>083:57:27.07 W</t>
  </si>
  <si>
    <t>035:48:24.88 N</t>
  </si>
  <si>
    <t>083:57:25.14 W</t>
  </si>
  <si>
    <t>035:48:26.19 N</t>
  </si>
  <si>
    <t>083:57:23.59 W</t>
  </si>
  <si>
    <t>035:48:27.43 N</t>
  </si>
  <si>
    <t>083:57:21.82 W</t>
  </si>
  <si>
    <t>035:48:28.90 N</t>
  </si>
  <si>
    <t>083:57:19.89 W</t>
  </si>
  <si>
    <t>035:48:30.52 N</t>
  </si>
  <si>
    <t>083:57:17.80 W</t>
  </si>
  <si>
    <t>035:48:31.75 N</t>
  </si>
  <si>
    <t>083:57:16.10 W</t>
  </si>
  <si>
    <t>035:48:33.30 N</t>
  </si>
  <si>
    <t>083:57:14.09 W</t>
  </si>
  <si>
    <t>035:48:34.77 N</t>
  </si>
  <si>
    <t>083:57:12.01 W</t>
  </si>
  <si>
    <t>035:48:36.08 N</t>
  </si>
  <si>
    <t>083:57:10.15 W</t>
  </si>
  <si>
    <t>035:48:37.55 N</t>
  </si>
  <si>
    <t>083:57:08.30 W</t>
  </si>
  <si>
    <t>035:48:38.94 N</t>
  </si>
  <si>
    <t>083:57:06.29 W</t>
  </si>
  <si>
    <t>035:48:40.25 N</t>
  </si>
  <si>
    <t>083:57:04.59 W</t>
  </si>
  <si>
    <t>035:48:41.80 N</t>
  </si>
  <si>
    <t>083:57:02.43 W</t>
  </si>
  <si>
    <t>035:48:43.50 N</t>
  </si>
  <si>
    <t>083:56:59.49 W</t>
  </si>
  <si>
    <t>035:48:44.65 N</t>
  </si>
  <si>
    <t>083:56:57.64 W</t>
  </si>
  <si>
    <t>035:48:45.66 N</t>
  </si>
  <si>
    <t>083:56:55.48 W</t>
  </si>
  <si>
    <t>035:48:46.97 N</t>
  </si>
  <si>
    <t>083:56:52.54 W</t>
  </si>
  <si>
    <t>035:48:47.82 N</t>
  </si>
  <si>
    <t>083:56:50.22 W</t>
  </si>
  <si>
    <t>035:48:48.83 N</t>
  </si>
  <si>
    <t>083:56:47.13 W</t>
  </si>
  <si>
    <t>035:48:49.44 N</t>
  </si>
  <si>
    <t>083:56:43.81 W</t>
  </si>
  <si>
    <t>035:48:49.91 N</t>
  </si>
  <si>
    <t>083:56:41.73 W</t>
  </si>
  <si>
    <t>035:48:50.29 N</t>
  </si>
  <si>
    <t>083:56:38.48 W</t>
  </si>
  <si>
    <t>035:48:50.37 N</t>
  </si>
  <si>
    <t>083:56:35.70 W</t>
  </si>
  <si>
    <t>083:56:32.92 W</t>
  </si>
  <si>
    <t>035:48:50.14 N</t>
  </si>
  <si>
    <t>083:56:30.60 W</t>
  </si>
  <si>
    <t>035:48:49.83 N</t>
  </si>
  <si>
    <t>083:56:28.36 W</t>
  </si>
  <si>
    <t>083:56:26.74 W</t>
  </si>
  <si>
    <t>035:48:48.67 N</t>
  </si>
  <si>
    <t>083:56:23.57 W</t>
  </si>
  <si>
    <t>083:56:21.18 W</t>
  </si>
  <si>
    <t>035:48:46.66 N</t>
  </si>
  <si>
    <t>083:56:18.47 W</t>
  </si>
  <si>
    <t>035:48:45.81 N</t>
  </si>
  <si>
    <t>083:56:16.85 W</t>
  </si>
  <si>
    <t>035:48:44.81 N</t>
  </si>
  <si>
    <t>083:56:15.15 W</t>
  </si>
  <si>
    <t>035:48:43.88 N</t>
  </si>
  <si>
    <t>083:56:13.76 W</t>
  </si>
  <si>
    <t>035:48:42.65 N</t>
  </si>
  <si>
    <t>083:56:12.14 W</t>
  </si>
  <si>
    <t>035:48:41.57 N</t>
  </si>
  <si>
    <t>083:56:11.06 W</t>
  </si>
  <si>
    <t>035:48:40.41 N</t>
  </si>
  <si>
    <t>083:56:09.82 W</t>
  </si>
  <si>
    <t>035:48:39.09 N</t>
  </si>
  <si>
    <t>083:56:08.82 W</t>
  </si>
  <si>
    <t>035:48:37.63 N</t>
  </si>
  <si>
    <t>083:56:07.74 W</t>
  </si>
  <si>
    <t>035:48:36.47 N</t>
  </si>
  <si>
    <t>083:56:06.96 W</t>
  </si>
  <si>
    <t>035:48:34.92 N</t>
  </si>
  <si>
    <t>083:56:06.27 W</t>
  </si>
  <si>
    <t>035:48:33.45 N</t>
  </si>
  <si>
    <t>083:56:05.65 W</t>
  </si>
  <si>
    <t>083:56:05.03 W</t>
  </si>
  <si>
    <t>035:48:30.21 N</t>
  </si>
  <si>
    <t>083:56:04.57 W</t>
  </si>
  <si>
    <t>035:48:28.66 N</t>
  </si>
  <si>
    <t>083:56:04.26 W</t>
  </si>
  <si>
    <t>035:48:27.04 N</t>
  </si>
  <si>
    <t>035:48:25.03 N</t>
  </si>
  <si>
    <t>083:56:04.18 W</t>
  </si>
  <si>
    <t>035:48:23.57 N</t>
  </si>
  <si>
    <t>035:48:21.56 N</t>
  </si>
  <si>
    <t>035:48:18.70 N</t>
  </si>
  <si>
    <t>083:56:05.42 W</t>
  </si>
  <si>
    <t>083:56:06.11 W</t>
  </si>
  <si>
    <t>035:48:15.30 N</t>
  </si>
  <si>
    <t>083:56:07.12 W</t>
  </si>
  <si>
    <t>035:48:12.98 N</t>
  </si>
  <si>
    <t>083:56:08.59 W</t>
  </si>
  <si>
    <t>035:48:11.75 N</t>
  </si>
  <si>
    <t>035:48:10.36 N</t>
  </si>
  <si>
    <t>035:48:09.12 N</t>
  </si>
  <si>
    <t>083:56:12.37 W</t>
  </si>
  <si>
    <t>035:48:08.12 N</t>
  </si>
  <si>
    <t>083:56:13.69 W</t>
  </si>
  <si>
    <t>035:48:07.27 N</t>
  </si>
  <si>
    <t>083:56:14.92 W</t>
  </si>
  <si>
    <t>035:48:06.26 N</t>
  </si>
  <si>
    <t>083:56:16.39 W</t>
  </si>
  <si>
    <t>035:48:05.41 N</t>
  </si>
  <si>
    <t>083:56:18.09 W</t>
  </si>
  <si>
    <t>035:48:04.56 N</t>
  </si>
  <si>
    <t>083:56:19.79 W</t>
  </si>
  <si>
    <t>035:48:03.79 N</t>
  </si>
  <si>
    <t>083:56:21.41 W</t>
  </si>
  <si>
    <t>035:48:03.10 N</t>
  </si>
  <si>
    <t>083:56:23.34 W</t>
  </si>
  <si>
    <t>035:48:02.48 N</t>
  </si>
  <si>
    <t>083:56:25.50 W</t>
  </si>
  <si>
    <t>035:48:02.17 N</t>
  </si>
  <si>
    <t>083:56:27.13 W</t>
  </si>
  <si>
    <t>035:48:01.63 N</t>
  </si>
  <si>
    <t>083:56:28.98 W</t>
  </si>
  <si>
    <t>035:48:01.24 N</t>
  </si>
  <si>
    <t>083:56:32.61 W</t>
  </si>
  <si>
    <t>035:48:01.01 N</t>
  </si>
  <si>
    <t>083:56:34.93 W</t>
  </si>
  <si>
    <t>035:48:01.09 N</t>
  </si>
  <si>
    <t>083:56:37.25 W</t>
  </si>
  <si>
    <t>083:56:39.56 W</t>
  </si>
  <si>
    <t>035:48:01.32 N</t>
  </si>
  <si>
    <t>083:56:41.96 W</t>
  </si>
  <si>
    <t>083:56:43.58 W</t>
  </si>
  <si>
    <t>083:56:45.59 W</t>
  </si>
  <si>
    <t>035:48:02.56 N</t>
  </si>
  <si>
    <t>083:56:47.91 W</t>
  </si>
  <si>
    <t>035:48:03.17 N</t>
  </si>
  <si>
    <t>083:56:52.46 W</t>
  </si>
  <si>
    <t>035:48:04.95 N</t>
  </si>
  <si>
    <t>083:56:54.70 W</t>
  </si>
  <si>
    <t>035:48:05.80 N</t>
  </si>
  <si>
    <t>083:56:56.56 W</t>
  </si>
  <si>
    <t>035:48:06.96 N</t>
  </si>
  <si>
    <t>083:56:58.41 W</t>
  </si>
  <si>
    <t>035:48:08.89 N</t>
  </si>
  <si>
    <t>083:57:01.50 W</t>
  </si>
  <si>
    <t>035:48:10.13 N</t>
  </si>
  <si>
    <t>083:57:03.12 W</t>
  </si>
  <si>
    <t>035:48:11.36 N</t>
  </si>
  <si>
    <t>083:57:04.82 W</t>
  </si>
  <si>
    <t>035:48:13.06 N</t>
  </si>
  <si>
    <t>083:57:06.45 W</t>
  </si>
  <si>
    <t>035:48:14.53 N</t>
  </si>
  <si>
    <t>083:57:07.91 W</t>
  </si>
  <si>
    <t>035:48:17.00 N</t>
  </si>
  <si>
    <t>035:48:18.85 N</t>
  </si>
  <si>
    <t>083:57:11.47 W</t>
  </si>
  <si>
    <t>035:48:20.63 N</t>
  </si>
  <si>
    <t>083:57:12.63 W</t>
  </si>
  <si>
    <t>035:48:22.41 N</t>
  </si>
  <si>
    <t>083:57:13.71 W</t>
  </si>
  <si>
    <t>035:48:24.42 N</t>
  </si>
  <si>
    <t>083:57:14.71 W</t>
  </si>
  <si>
    <t>035:48:26.58 N</t>
  </si>
  <si>
    <t>083:57:15.56 W</t>
  </si>
  <si>
    <t>035:48:28.74 N</t>
  </si>
  <si>
    <t>083:57:16.33 W</t>
  </si>
  <si>
    <t>035:48:30.90 N</t>
  </si>
  <si>
    <t>083:57:16.80 W</t>
  </si>
  <si>
    <t>035:48:33.07 N</t>
  </si>
  <si>
    <t>083:57:17.18 W</t>
  </si>
  <si>
    <t>035:48:35.08 N</t>
  </si>
  <si>
    <t>083:57:17.41 W</t>
  </si>
  <si>
    <t>083:57:17.57 W</t>
  </si>
  <si>
    <t>035:48:39.48 N</t>
  </si>
  <si>
    <t>035:48:41.64 N</t>
  </si>
  <si>
    <t>035:48:44.04 N</t>
  </si>
  <si>
    <t>083:57:16.56 W</t>
  </si>
  <si>
    <t>035:48:46.12 N</t>
  </si>
  <si>
    <t>083:57:15.95 W</t>
  </si>
  <si>
    <t>035:48:48.13 N</t>
  </si>
  <si>
    <t>083:57:15.33 W</t>
  </si>
  <si>
    <t>083:57:14.32 W</t>
  </si>
  <si>
    <t>035:48:52.92 N</t>
  </si>
  <si>
    <t>083:57:12.86 W</t>
  </si>
  <si>
    <t>035:48:54.70 N</t>
  </si>
  <si>
    <t>083:57:11.62 W</t>
  </si>
  <si>
    <t>035:48:56.71 N</t>
  </si>
  <si>
    <t>035:48:58.56 N</t>
  </si>
  <si>
    <t>083:57:08.53 W</t>
  </si>
  <si>
    <t>035:49:00.49 N</t>
  </si>
  <si>
    <t>083:57:06.91 W</t>
  </si>
  <si>
    <t>035:49:02.58 N</t>
  </si>
  <si>
    <t>083:57:04.75 W</t>
  </si>
  <si>
    <t>035:49:04.43 N</t>
  </si>
  <si>
    <t>083:57:02.74 W</t>
  </si>
  <si>
    <t>035:49:06.13 N</t>
  </si>
  <si>
    <t>083:57:00.81 W</t>
  </si>
  <si>
    <t>035:49:07.75 N</t>
  </si>
  <si>
    <t>083:56:58.64 W</t>
  </si>
  <si>
    <t>035:49:09.37 N</t>
  </si>
  <si>
    <t>083:56:56.79 W</t>
  </si>
  <si>
    <t>035:49:11.00 N</t>
  </si>
  <si>
    <t>083:56:54.86 W</t>
  </si>
  <si>
    <t>035:49:12.46 N</t>
  </si>
  <si>
    <t>083:56:53.00 W</t>
  </si>
  <si>
    <t>035:49:14.16 N</t>
  </si>
  <si>
    <t>083:56:50.92 W</t>
  </si>
  <si>
    <t>035:49:15.48 N</t>
  </si>
  <si>
    <t>083:56:49.14 W</t>
  </si>
  <si>
    <t>035:49:16.94 N</t>
  </si>
  <si>
    <t>083:56:47.29 W</t>
  </si>
  <si>
    <t>035:49:18.49 N</t>
  </si>
  <si>
    <t>083:56:45.43 W</t>
  </si>
  <si>
    <t>035:49:20.03 N</t>
  </si>
  <si>
    <t>083:56:43.50 W</t>
  </si>
  <si>
    <t>035:49:21.50 N</t>
  </si>
  <si>
    <t>083:56:41.80 W</t>
  </si>
  <si>
    <t>035:49:23.05 N</t>
  </si>
  <si>
    <t>083:56:40.18 W</t>
  </si>
  <si>
    <t>035:49:24.75 N</t>
  </si>
  <si>
    <t>035:49:26.21 N</t>
  </si>
  <si>
    <t>035:49:27.99 N</t>
  </si>
  <si>
    <t>083:56:35.55 W</t>
  </si>
  <si>
    <t>035:49:29.84 N</t>
  </si>
  <si>
    <t>083:56:34.31 W</t>
  </si>
  <si>
    <t>035:49:31.62 N</t>
  </si>
  <si>
    <t>083:56:33.31 W</t>
  </si>
  <si>
    <t>035:49:33.48 N</t>
  </si>
  <si>
    <t>083:56:32.30 W</t>
  </si>
  <si>
    <t>035:49:36.10 N</t>
  </si>
  <si>
    <t>083:56:31.22 W</t>
  </si>
  <si>
    <t>035:49:37.88 N</t>
  </si>
  <si>
    <t>035:49:40.12 N</t>
  </si>
  <si>
    <t>083:56:30.29 W</t>
  </si>
  <si>
    <t>035:49:42.98 N</t>
  </si>
  <si>
    <t>083:56:30.06 W</t>
  </si>
  <si>
    <t>035:49:44.83 N</t>
  </si>
  <si>
    <t>035:49:46.68 N</t>
  </si>
  <si>
    <t>035:49:49.31 N</t>
  </si>
  <si>
    <t>083:56:31.14 W</t>
  </si>
  <si>
    <t>035:49:51.17 N</t>
  </si>
  <si>
    <t>083:56:31.76 W</t>
  </si>
  <si>
    <t>035:49:53.56 N</t>
  </si>
  <si>
    <t>083:56:33.00 W</t>
  </si>
  <si>
    <t>035:49:55.72 N</t>
  </si>
  <si>
    <t>035:49:57.58 N</t>
  </si>
  <si>
    <t>035:49:59.12 N</t>
  </si>
  <si>
    <t>083:56:37.01 W</t>
  </si>
  <si>
    <t>035:50:00.67 N</t>
  </si>
  <si>
    <t>083:56:38.25 W</t>
  </si>
  <si>
    <t>035:50:02.21 N</t>
  </si>
  <si>
    <t>083:56:39.95 W</t>
  </si>
  <si>
    <t>035:50:03.60 N</t>
  </si>
  <si>
    <t>083:56:41.19 W</t>
  </si>
  <si>
    <t>035:50:04.92 N</t>
  </si>
  <si>
    <t>083:56:42.65 W</t>
  </si>
  <si>
    <t>035:50:06.31 N</t>
  </si>
  <si>
    <t>083:56:44.12 W</t>
  </si>
  <si>
    <t>035:50:08.78 N</t>
  </si>
  <si>
    <t>035:50:09.86 N</t>
  </si>
  <si>
    <t>083:56:48.37 W</t>
  </si>
  <si>
    <t>035:50:10.79 N</t>
  </si>
  <si>
    <t>083:56:49.61 W</t>
  </si>
  <si>
    <t>035:50:12.49 N</t>
  </si>
  <si>
    <t>083:56:51.69 W</t>
  </si>
  <si>
    <t>035:50:13.64 N</t>
  </si>
  <si>
    <t>083:56:53.08 W</t>
  </si>
  <si>
    <t>035:50:15.50 N</t>
  </si>
  <si>
    <t>083:56:55.32 W</t>
  </si>
  <si>
    <t>035:50:16.43 N</t>
  </si>
  <si>
    <t>035:50:17.97 N</t>
  </si>
  <si>
    <t>083:56:58.87 W</t>
  </si>
  <si>
    <t>035:50:19.36 N</t>
  </si>
  <si>
    <t>083:57:00.96 W</t>
  </si>
  <si>
    <t>035:50:20.67 N</t>
  </si>
  <si>
    <t>083:57:03.28 W</t>
  </si>
  <si>
    <t>035:50:21.52 N</t>
  </si>
  <si>
    <t>035:50:22.53 N</t>
  </si>
  <si>
    <t>035:50:23.07 N</t>
  </si>
  <si>
    <t>083:57:08.76 W</t>
  </si>
  <si>
    <t>035:50:23.53 N</t>
  </si>
  <si>
    <t>083:57:10.23 W</t>
  </si>
  <si>
    <t>035:50:23.84 N</t>
  </si>
  <si>
    <t>083:57:11.93 W</t>
  </si>
  <si>
    <t>035:50:24.07 N</t>
  </si>
  <si>
    <t>083:57:19.27 W</t>
  </si>
  <si>
    <t>035:50:23.38 N</t>
  </si>
  <si>
    <t>083:57:21.59 W</t>
  </si>
  <si>
    <t>035:50:22.76 N</t>
  </si>
  <si>
    <t>083:57:23.36 W</t>
  </si>
  <si>
    <t>035:50:22.06 N</t>
  </si>
  <si>
    <t>083:57:24.98 W</t>
  </si>
  <si>
    <t>035:50:21.37 N</t>
  </si>
  <si>
    <t>083:57:26.84 W</t>
  </si>
  <si>
    <t>035:50:19.98 N</t>
  </si>
  <si>
    <t>083:57:28.77 W</t>
  </si>
  <si>
    <t>035:50:18.51 N</t>
  </si>
  <si>
    <t>083:57:30.62 W</t>
  </si>
  <si>
    <t>035:50:17.43 N</t>
  </si>
  <si>
    <t>083:57:31.78 W</t>
  </si>
  <si>
    <t>035:50:16.19 N</t>
  </si>
  <si>
    <t>083:57:33.17 W</t>
  </si>
  <si>
    <t>035:50:14.11 N</t>
  </si>
  <si>
    <t>083:57:35.03 W</t>
  </si>
  <si>
    <t>035:50:12.95 N</t>
  </si>
  <si>
    <t>083:57:36.11 W</t>
  </si>
  <si>
    <t>035:50:11.79 N</t>
  </si>
  <si>
    <t>083:57:37.19 W</t>
  </si>
  <si>
    <t>035:50:10.48 N</t>
  </si>
  <si>
    <t>035:50:08.93 N</t>
  </si>
  <si>
    <t>083:57:39.66 W</t>
  </si>
  <si>
    <t>035:50:07.08 N</t>
  </si>
  <si>
    <t>083:57:41.52 W</t>
  </si>
  <si>
    <t>035:50:06.07 N</t>
  </si>
  <si>
    <t>083:57:42.67 W</t>
  </si>
  <si>
    <t>083:57:45.22 W</t>
  </si>
  <si>
    <t>035:50:02.06 N</t>
  </si>
  <si>
    <t>083:57:46.85 W</t>
  </si>
  <si>
    <t>035:50:01.05 N</t>
  </si>
  <si>
    <t>035:50:00.13 N</t>
  </si>
  <si>
    <t>083:57:49.32 W</t>
  </si>
  <si>
    <t>035:49:58.58 N</t>
  </si>
  <si>
    <t>083:57:51.25 W</t>
  </si>
  <si>
    <t>035:49:57.42 N</t>
  </si>
  <si>
    <t>083:57:52.56 W</t>
  </si>
  <si>
    <t>035:49:55.18 N</t>
  </si>
  <si>
    <t>083:57:55.27 W</t>
  </si>
  <si>
    <t>035:49:54.02 N</t>
  </si>
  <si>
    <t>083:57:56.50 W</t>
  </si>
  <si>
    <t>035:49:52.17 N</t>
  </si>
  <si>
    <t>083:57:58.82 W</t>
  </si>
  <si>
    <t>035:49:50.86 N</t>
  </si>
  <si>
    <t>083:58:00.29 W</t>
  </si>
  <si>
    <t>035:49:49.77 N</t>
  </si>
  <si>
    <t>083:58:01.45 W</t>
  </si>
  <si>
    <t>035:49:47.61 N</t>
  </si>
  <si>
    <t>083:58:03.92 W</t>
  </si>
  <si>
    <t>035:49:46.14 N</t>
  </si>
  <si>
    <t>083:58:05.62 W</t>
  </si>
  <si>
    <t>035:49:42.82 N</t>
  </si>
  <si>
    <t>083:58:09.56 W</t>
  </si>
  <si>
    <t>035:49:38.42 N</t>
  </si>
  <si>
    <t>083:58:14.81 W</t>
  </si>
  <si>
    <t>035:49:37.42 N</t>
  </si>
  <si>
    <t>083:58:16.12 W</t>
  </si>
  <si>
    <t>035:49:35.56 N</t>
  </si>
  <si>
    <t>083:58:18.36 W</t>
  </si>
  <si>
    <t>035:49:32.55 N</t>
  </si>
  <si>
    <t>083:58:21.99 W</t>
  </si>
  <si>
    <t>035:49:31.00 N</t>
  </si>
  <si>
    <t>083:58:23.92 W</t>
  </si>
  <si>
    <t>035:47:48.03 N</t>
  </si>
  <si>
    <t>084:00:29.68 W</t>
  </si>
  <si>
    <t>035:47:41.23 N</t>
  </si>
  <si>
    <t>084:00:38.03 W</t>
  </si>
  <si>
    <t>035:47:39.77 N</t>
  </si>
  <si>
    <t>084:00:39.88 W</t>
  </si>
  <si>
    <t>084:00:42.89 W</t>
  </si>
  <si>
    <t>035:47:35.60 N</t>
  </si>
  <si>
    <t>084:00:45.06 W</t>
  </si>
  <si>
    <t>035:47:33.97 N</t>
  </si>
  <si>
    <t>084:00:46.91 W</t>
  </si>
  <si>
    <t>035:47:32.58 N</t>
  </si>
  <si>
    <t>084:00:51.78 W</t>
  </si>
  <si>
    <t>035:47:28.57 N</t>
  </si>
  <si>
    <t>084:00:53.86 W</t>
  </si>
  <si>
    <t>035:47:26.87 N</t>
  </si>
  <si>
    <t>084:00:55.95 W</t>
  </si>
  <si>
    <t>035:47:25.24 N</t>
  </si>
  <si>
    <t>084:00:58.03 W</t>
  </si>
  <si>
    <t>035:47:23.62 N</t>
  </si>
  <si>
    <t>084:00:59.89 W</t>
  </si>
  <si>
    <t>035:47:22.23 N</t>
  </si>
  <si>
    <t>084:01:01.66 W</t>
  </si>
  <si>
    <t>035:47:20.53 N</t>
  </si>
  <si>
    <t>084:01:03.75 W</t>
  </si>
  <si>
    <t>084:01:05.45 W</t>
  </si>
  <si>
    <t>035:47:16.67 N</t>
  </si>
  <si>
    <t>084:01:08.69 W</t>
  </si>
  <si>
    <t>035:47:15.36 N</t>
  </si>
  <si>
    <t>084:01:10.70 W</t>
  </si>
  <si>
    <t>084:01:13.25 W</t>
  </si>
  <si>
    <t>035:47:12.58 N</t>
  </si>
  <si>
    <t>084:01:15.49 W</t>
  </si>
  <si>
    <t>035:47:11.49 N</t>
  </si>
  <si>
    <t>084:01:17.65 W</t>
  </si>
  <si>
    <t>035:47:10.57 N</t>
  </si>
  <si>
    <t>084:01:20.05 W</t>
  </si>
  <si>
    <t>035:47:08.95 N</t>
  </si>
  <si>
    <t>084:01:24.76 W</t>
  </si>
  <si>
    <t>035:47:08.10 N</t>
  </si>
  <si>
    <t>084:01:27.54 W</t>
  </si>
  <si>
    <t>035:47:07.94 N</t>
  </si>
  <si>
    <t>084:01:28.55 W</t>
  </si>
  <si>
    <t>035:47:06.94 N</t>
  </si>
  <si>
    <t>084:01:33.03 W</t>
  </si>
  <si>
    <t>035:47:06.78 N</t>
  </si>
  <si>
    <t>084:01:34.49 W</t>
  </si>
  <si>
    <t>035:47:06.24 N</t>
  </si>
  <si>
    <t>084:01:39.28 W</t>
  </si>
  <si>
    <t>035:47:06.09 N</t>
  </si>
  <si>
    <t>084:01:42.53 W</t>
  </si>
  <si>
    <t>084:01:45.39 W</t>
  </si>
  <si>
    <t>035:47:06.32 N</t>
  </si>
  <si>
    <t>084:01:48.48 W</t>
  </si>
  <si>
    <t>084:01:50.72 W</t>
  </si>
  <si>
    <t>084:01:53.65 W</t>
  </si>
  <si>
    <t>035:47:07.32 N</t>
  </si>
  <si>
    <t>084:01:56.97 W</t>
  </si>
  <si>
    <t>035:47:07.63 N</t>
  </si>
  <si>
    <t>084:01:59.29 W</t>
  </si>
  <si>
    <t>035:47:08.25 N</t>
  </si>
  <si>
    <t>084:02:02.07 W</t>
  </si>
  <si>
    <t>035:47:09.10 N</t>
  </si>
  <si>
    <t>084:02:04.78 W</t>
  </si>
  <si>
    <t>035:47:09.95 N</t>
  </si>
  <si>
    <t>084:02:07.63 W</t>
  </si>
  <si>
    <t>035:47:11.11 N</t>
  </si>
  <si>
    <t>084:02:10.88 W</t>
  </si>
  <si>
    <t>035:47:12.88 N</t>
  </si>
  <si>
    <t>084:02:14.82 W</t>
  </si>
  <si>
    <t>035:47:13.97 N</t>
  </si>
  <si>
    <t>084:02:17.21 W</t>
  </si>
  <si>
    <t>035:47:15.51 N</t>
  </si>
  <si>
    <t>084:02:19.68 W</t>
  </si>
  <si>
    <t>035:47:17.13 N</t>
  </si>
  <si>
    <t>084:02:22.23 W</t>
  </si>
  <si>
    <t>035:47:19.22 N</t>
  </si>
  <si>
    <t>084:02:24.78 W</t>
  </si>
  <si>
    <t>035:47:21.00 N</t>
  </si>
  <si>
    <t>084:02:26.87 W</t>
  </si>
  <si>
    <t>035:47:22.62 N</t>
  </si>
  <si>
    <t>084:02:28.41 W</t>
  </si>
  <si>
    <t>035:47:24.78 N</t>
  </si>
  <si>
    <t>084:02:30.27 W</t>
  </si>
  <si>
    <t>084:02:32.35 W</t>
  </si>
  <si>
    <t>035:47:28.88 N</t>
  </si>
  <si>
    <t>084:02:33.59 W</t>
  </si>
  <si>
    <t>035:47:31.04 N</t>
  </si>
  <si>
    <t>084:02:35.21 W</t>
  </si>
  <si>
    <t>035:47:33.12 N</t>
  </si>
  <si>
    <t>084:02:36.29 W</t>
  </si>
  <si>
    <t>035:47:34.90 N</t>
  </si>
  <si>
    <t>084:02:37.37 W</t>
  </si>
  <si>
    <t>035:47:36.91 N</t>
  </si>
  <si>
    <t>084:02:38.53 W</t>
  </si>
  <si>
    <t>035:47:39.15 N</t>
  </si>
  <si>
    <t>084:02:39.31 W</t>
  </si>
  <si>
    <t>035:47:42.70 N</t>
  </si>
  <si>
    <t>084:02:40.62 W</t>
  </si>
  <si>
    <t>035:47:44.79 N</t>
  </si>
  <si>
    <t>084:02:41.16 W</t>
  </si>
  <si>
    <t>035:47:47.49 N</t>
  </si>
  <si>
    <t>084:02:41.62 W</t>
  </si>
  <si>
    <t>035:47:49.96 N</t>
  </si>
  <si>
    <t>084:02:41.85 W</t>
  </si>
  <si>
    <t>035:47:52.44 N</t>
  </si>
  <si>
    <t>084:02:42.01 W</t>
  </si>
  <si>
    <t>035:47:55.91 N</t>
  </si>
  <si>
    <t>035:47:58.07 N</t>
  </si>
  <si>
    <t>084:02:41.55 W</t>
  </si>
  <si>
    <t>084:02:41.00 W</t>
  </si>
  <si>
    <t>035:48:04.41 N</t>
  </si>
  <si>
    <t>084:02:40.54 W</t>
  </si>
  <si>
    <t>035:48:06.80 N</t>
  </si>
  <si>
    <t>084:02:39.69 W</t>
  </si>
  <si>
    <t>035:48:08.97 N</t>
  </si>
  <si>
    <t>084:02:38.84 W</t>
  </si>
  <si>
    <t>035:48:11.52 N</t>
  </si>
  <si>
    <t>084:02:37.68 W</t>
  </si>
  <si>
    <t>035:48:13.68 N</t>
  </si>
  <si>
    <t>084:02:36.68 W</t>
  </si>
  <si>
    <t>035:48:16.31 N</t>
  </si>
  <si>
    <t>084:02:35.06 W</t>
  </si>
  <si>
    <t>035:48:18.00 N</t>
  </si>
  <si>
    <t>084:02:33.98 W</t>
  </si>
  <si>
    <t>035:48:20.48 N</t>
  </si>
  <si>
    <t>084:02:32.12 W</t>
  </si>
  <si>
    <t>035:48:22.33 N</t>
  </si>
  <si>
    <t>084:02:30.65 W</t>
  </si>
  <si>
    <t>035:48:24.18 N</t>
  </si>
  <si>
    <t>084:02:28.95 W</t>
  </si>
  <si>
    <t>035:48:25.88 N</t>
  </si>
  <si>
    <t>084:02:27.18 W</t>
  </si>
  <si>
    <t>035:48:27.89 N</t>
  </si>
  <si>
    <t>084:02:25.17 W</t>
  </si>
  <si>
    <t>035:48:29.44 N</t>
  </si>
  <si>
    <t>084:02:23.47 W</t>
  </si>
  <si>
    <t>035:48:31.21 N</t>
  </si>
  <si>
    <t>084:02:21.38 W</t>
  </si>
  <si>
    <t>035:48:32.84 N</t>
  </si>
  <si>
    <t>084:02:19.61 W</t>
  </si>
  <si>
    <t>035:48:36.23 N</t>
  </si>
  <si>
    <t>084:02:15.44 W</t>
  </si>
  <si>
    <t>035:48:38.40 N</t>
  </si>
  <si>
    <t>084:02:12.81 W</t>
  </si>
  <si>
    <t>035:48:40.02 N</t>
  </si>
  <si>
    <t>084:02:10.72 W</t>
  </si>
  <si>
    <t>035:48:41.72 N</t>
  </si>
  <si>
    <t>084:02:08.64 W</t>
  </si>
  <si>
    <t>035:48:43.34 N</t>
  </si>
  <si>
    <t>084:02:06.63 W</t>
  </si>
  <si>
    <t>035:48:45.20 N</t>
  </si>
  <si>
    <t>084:02:04.31 W</t>
  </si>
  <si>
    <t>035:48:46.82 N</t>
  </si>
  <si>
    <t>035:48:48.52 N</t>
  </si>
  <si>
    <t>084:01:59.75 W</t>
  </si>
  <si>
    <t>035:48:50.76 N</t>
  </si>
  <si>
    <t>084:01:56.90 W</t>
  </si>
  <si>
    <t>035:48:52.38 N</t>
  </si>
  <si>
    <t>084:01:54.66 W</t>
  </si>
  <si>
    <t>035:48:53.92 N</t>
  </si>
  <si>
    <t>084:01:52.57 W</t>
  </si>
  <si>
    <t>035:48:55.55 N</t>
  </si>
  <si>
    <t>084:01:50.64 W</t>
  </si>
  <si>
    <t>035:48:57.17 N</t>
  </si>
  <si>
    <t>084:01:48.24 W</t>
  </si>
  <si>
    <t>035:48:58.87 N</t>
  </si>
  <si>
    <t>084:01:46.24 W</t>
  </si>
  <si>
    <t>084:01:43.92 W</t>
  </si>
  <si>
    <t>035:49:02.11 N</t>
  </si>
  <si>
    <t>084:01:42.06 W</t>
  </si>
  <si>
    <t>035:49:03.43 N</t>
  </si>
  <si>
    <t>084:01:40.37 W</t>
  </si>
  <si>
    <t>084:01:36.97 W</t>
  </si>
  <si>
    <t>035:49:07.60 N</t>
  </si>
  <si>
    <t>084:01:35.11 W</t>
  </si>
  <si>
    <t>035:49:09.61 N</t>
  </si>
  <si>
    <t>084:01:32.33 W</t>
  </si>
  <si>
    <t>035:49:11.23 N</t>
  </si>
  <si>
    <t>084:01:30.55 W</t>
  </si>
  <si>
    <t>035:49:12.85 N</t>
  </si>
  <si>
    <t>084:01:28.31 W</t>
  </si>
  <si>
    <t>035:49:14.32 N</t>
  </si>
  <si>
    <t>084:01:26.23 W</t>
  </si>
  <si>
    <t>035:49:16.02 N</t>
  </si>
  <si>
    <t>084:01:24.14 W</t>
  </si>
  <si>
    <t>035:49:17.33 N</t>
  </si>
  <si>
    <t>084:01:22.29 W</t>
  </si>
  <si>
    <t>035:49:19.11 N</t>
  </si>
  <si>
    <t>035:49:20.27 N</t>
  </si>
  <si>
    <t>084:01:18.43 W</t>
  </si>
  <si>
    <t>035:49:21.58 N</t>
  </si>
  <si>
    <t>084:01:16.73 W</t>
  </si>
  <si>
    <t>035:49:23.36 N</t>
  </si>
  <si>
    <t>084:01:14.49 W</t>
  </si>
  <si>
    <t>035:49:25.21 N</t>
  </si>
  <si>
    <t>084:01:12.17 W</t>
  </si>
  <si>
    <t>035:49:26.91 N</t>
  </si>
  <si>
    <t>084:01:10.08 W</t>
  </si>
  <si>
    <t>035:49:28.38 N</t>
  </si>
  <si>
    <t>084:01:08.15 W</t>
  </si>
  <si>
    <t>035:49:30.08 N</t>
  </si>
  <si>
    <t>084:01:06.30 W</t>
  </si>
  <si>
    <t>035:49:31.78 N</t>
  </si>
  <si>
    <t>084:01:04.37 W</t>
  </si>
  <si>
    <t>035:49:34.09 N</t>
  </si>
  <si>
    <t>084:01:01.51 W</t>
  </si>
  <si>
    <t>035:49:35.95 N</t>
  </si>
  <si>
    <t>084:00:59.58 W</t>
  </si>
  <si>
    <t>035:49:37.57 N</t>
  </si>
  <si>
    <t>035:49:40.20 N</t>
  </si>
  <si>
    <t>084:00:54.94 W</t>
  </si>
  <si>
    <t>035:49:41.97 N</t>
  </si>
  <si>
    <t>084:00:53.01 W</t>
  </si>
  <si>
    <t>035:49:43.67 N</t>
  </si>
  <si>
    <t>084:00:51.16 W</t>
  </si>
  <si>
    <t>035:49:45.45 N</t>
  </si>
  <si>
    <t>084:00:49.38 W</t>
  </si>
  <si>
    <t>035:49:47.30 N</t>
  </si>
  <si>
    <t>035:49:49.23 N</t>
  </si>
  <si>
    <t>035:49:50.70 N</t>
  </si>
  <si>
    <t>084:00:43.59 W</t>
  </si>
  <si>
    <t>035:49:52.09 N</t>
  </si>
  <si>
    <t>084:00:41.97 W</t>
  </si>
  <si>
    <t>035:49:54.33 N</t>
  </si>
  <si>
    <t>084:00:39.11 W</t>
  </si>
  <si>
    <t>035:49:56.03 N</t>
  </si>
  <si>
    <t>084:00:37.25 W</t>
  </si>
  <si>
    <t>084:00:35.32 W</t>
  </si>
  <si>
    <t>035:49:58.89 N</t>
  </si>
  <si>
    <t>084:00:33.47 W</t>
  </si>
  <si>
    <t>084:00:31.46 W</t>
  </si>
  <si>
    <t>035:50:01.90 N</t>
  </si>
  <si>
    <t>035:50:03.45 N</t>
  </si>
  <si>
    <t>084:00:27.52 W</t>
  </si>
  <si>
    <t>035:50:05.07 N</t>
  </si>
  <si>
    <t>084:00:25.44 W</t>
  </si>
  <si>
    <t>035:50:06.46 N</t>
  </si>
  <si>
    <t>084:00:23.81 W</t>
  </si>
  <si>
    <t>035:50:08.31 N</t>
  </si>
  <si>
    <t>084:00:21.50 W</t>
  </si>
  <si>
    <t>035:50:09.55 N</t>
  </si>
  <si>
    <t>084:00:17.86 W</t>
  </si>
  <si>
    <t>035:50:13.03 N</t>
  </si>
  <si>
    <t>084:00:15.16 W</t>
  </si>
  <si>
    <t>035:50:14.49 N</t>
  </si>
  <si>
    <t>084:00:13.31 W</t>
  </si>
  <si>
    <t>035:50:15.96 N</t>
  </si>
  <si>
    <t>084:00:11.45 W</t>
  </si>
  <si>
    <t>035:50:17.20 N</t>
  </si>
  <si>
    <t>084:00:09.91 W</t>
  </si>
  <si>
    <t>035:50:18.74 N</t>
  </si>
  <si>
    <t>084:00:07.75 W</t>
  </si>
  <si>
    <t>035:50:20.75 N</t>
  </si>
  <si>
    <t>084:00:05.04 W</t>
  </si>
  <si>
    <t>035:50:21.99 N</t>
  </si>
  <si>
    <t>084:00:03.57 W</t>
  </si>
  <si>
    <t>035:50:24.54 N</t>
  </si>
  <si>
    <t>084:00:00.33 W</t>
  </si>
  <si>
    <t>035:50:26.08 N</t>
  </si>
  <si>
    <t>083:59:58.55 W</t>
  </si>
  <si>
    <t>035:50:27.86 N</t>
  </si>
  <si>
    <t>035:50:29.17 N</t>
  </si>
  <si>
    <t>083:59:54.77 W</t>
  </si>
  <si>
    <t>035:50:30.72 N</t>
  </si>
  <si>
    <t>083:59:52.68 W</t>
  </si>
  <si>
    <t>035:50:31.87 N</t>
  </si>
  <si>
    <t>083:59:51.21 W</t>
  </si>
  <si>
    <t>035:50:33.42 N</t>
  </si>
  <si>
    <t>083:59:49.51 W</t>
  </si>
  <si>
    <t>035:50:35.58 N</t>
  </si>
  <si>
    <t>083:59:46.73 W</t>
  </si>
  <si>
    <t>035:50:37.13 N</t>
  </si>
  <si>
    <t>083:59:44.88 W</t>
  </si>
  <si>
    <t>035:50:38.44 N</t>
  </si>
  <si>
    <t>083:59:43.18 W</t>
  </si>
  <si>
    <t>035:50:39.99 N</t>
  </si>
  <si>
    <t>083:59:41.33 W</t>
  </si>
  <si>
    <t>035:50:41.45 N</t>
  </si>
  <si>
    <t>083:59:39.63 W</t>
  </si>
  <si>
    <t>035:50:42.84 N</t>
  </si>
  <si>
    <t>083:59:38.08 W</t>
  </si>
  <si>
    <t>035:50:44.47 N</t>
  </si>
  <si>
    <t>083:59:36.00 W</t>
  </si>
  <si>
    <t>035:50:45.86 N</t>
  </si>
  <si>
    <t>083:59:34.37 W</t>
  </si>
  <si>
    <t>035:50:47.02 N</t>
  </si>
  <si>
    <t>083:59:33.06 W</t>
  </si>
  <si>
    <t>035:50:48.33 N</t>
  </si>
  <si>
    <t>083:59:31.44 W</t>
  </si>
  <si>
    <t>035:50:50.57 N</t>
  </si>
  <si>
    <t>083:59:28.81 W</t>
  </si>
  <si>
    <t>035:50:51.88 N</t>
  </si>
  <si>
    <t>035:50:53.35 N</t>
  </si>
  <si>
    <t>083:59:25.34 W</t>
  </si>
  <si>
    <t>035:50:54.66 N</t>
  </si>
  <si>
    <t>083:59:23.48 W</t>
  </si>
  <si>
    <t>035:50:56.05 N</t>
  </si>
  <si>
    <t>083:59:21.94 W</t>
  </si>
  <si>
    <t>035:50:57.37 N</t>
  </si>
  <si>
    <t>083:59:20.24 W</t>
  </si>
  <si>
    <t>035:50:58.99 N</t>
  </si>
  <si>
    <t>083:59:18.31 W</t>
  </si>
  <si>
    <t>035:51:00.30 N</t>
  </si>
  <si>
    <t>083:59:16.68 W</t>
  </si>
  <si>
    <t>035:51:01.92 N</t>
  </si>
  <si>
    <t>083:59:14.75 W</t>
  </si>
  <si>
    <t>035:51:03.24 N</t>
  </si>
  <si>
    <t>083:59:13.13 W</t>
  </si>
  <si>
    <t>035:51:04.55 N</t>
  </si>
  <si>
    <t>083:59:11.51 W</t>
  </si>
  <si>
    <t>035:51:06.10 N</t>
  </si>
  <si>
    <t>035:51:07.41 N</t>
  </si>
  <si>
    <t>083:59:07.88 W</t>
  </si>
  <si>
    <t>035:51:08.72 N</t>
  </si>
  <si>
    <t>083:59:06.33 W</t>
  </si>
  <si>
    <t>035:51:10.27 N</t>
  </si>
  <si>
    <t>083:59:04.48 W</t>
  </si>
  <si>
    <t>035:51:12.43 N</t>
  </si>
  <si>
    <t>083:59:01.78 W</t>
  </si>
  <si>
    <t>035:51:13.67 N</t>
  </si>
  <si>
    <t>083:59:00.15 W</t>
  </si>
  <si>
    <t>035:51:15.13 N</t>
  </si>
  <si>
    <t>083:58:58.38 W</t>
  </si>
  <si>
    <t>035:51:16.14 N</t>
  </si>
  <si>
    <t>035:51:17.61 N</t>
  </si>
  <si>
    <t>083:58:55.21 W</t>
  </si>
  <si>
    <t>035:51:18.84 N</t>
  </si>
  <si>
    <t>083:58:53.74 W</t>
  </si>
  <si>
    <t>035:51:20.31 N</t>
  </si>
  <si>
    <t>083:58:51.66 W</t>
  </si>
  <si>
    <t>035:51:21.70 N</t>
  </si>
  <si>
    <t>083:58:49.96 W</t>
  </si>
  <si>
    <t>035:51:22.86 N</t>
  </si>
  <si>
    <t>083:58:48.41 W</t>
  </si>
  <si>
    <t>035:51:24.02 N</t>
  </si>
  <si>
    <t>083:58:46.79 W</t>
  </si>
  <si>
    <t>035:51:25.41 N</t>
  </si>
  <si>
    <t>083:58:44.70 W</t>
  </si>
  <si>
    <t>035:51:26.49 N</t>
  </si>
  <si>
    <t>083:58:42.70 W</t>
  </si>
  <si>
    <t>035:51:27.49 N</t>
  </si>
  <si>
    <t>083:58:40.84 W</t>
  </si>
  <si>
    <t>035:51:28.50 N</t>
  </si>
  <si>
    <t>083:58:38.76 W</t>
  </si>
  <si>
    <t>035:51:29.42 N</t>
  </si>
  <si>
    <t>083:58:36.52 W</t>
  </si>
  <si>
    <t>035:51:30.12 N</t>
  </si>
  <si>
    <t>083:58:34.43 W</t>
  </si>
  <si>
    <t>035:51:30.74 N</t>
  </si>
  <si>
    <t>083:58:32.11 W</t>
  </si>
  <si>
    <t>035:51:31.20 N</t>
  </si>
  <si>
    <t>083:58:29.95 W</t>
  </si>
  <si>
    <t>035:51:31.59 N</t>
  </si>
  <si>
    <t>083:58:27.63 W</t>
  </si>
  <si>
    <t>035:51:31.74 N</t>
  </si>
  <si>
    <t>083:58:25.55 W</t>
  </si>
  <si>
    <t>035:51:31.90 N</t>
  </si>
  <si>
    <t>083:58:23.46 W</t>
  </si>
  <si>
    <t>083:58:21.14 W</t>
  </si>
  <si>
    <t>083:58:18.98 W</t>
  </si>
  <si>
    <t>083:58:16.74 W</t>
  </si>
  <si>
    <t>035:51:31.28 N</t>
  </si>
  <si>
    <t>083:58:14.65 W</t>
  </si>
  <si>
    <t>083:58:12.49 W</t>
  </si>
  <si>
    <t>035:51:30.20 N</t>
  </si>
  <si>
    <t>083:58:10.41 W</t>
  </si>
  <si>
    <t>035:51:29.66 N</t>
  </si>
  <si>
    <t>083:58:08.48 W</t>
  </si>
  <si>
    <t>035:51:28.88 N</t>
  </si>
  <si>
    <t>083:58:06.85 W</t>
  </si>
  <si>
    <t>035:51:28.03 N</t>
  </si>
  <si>
    <t>083:58:04.92 W</t>
  </si>
  <si>
    <t>035:51:27.03 N</t>
  </si>
  <si>
    <t>083:58:03.07 W</t>
  </si>
  <si>
    <t>035:51:26.03 N</t>
  </si>
  <si>
    <t>083:58:01.06 W</t>
  </si>
  <si>
    <t>035:51:25.02 N</t>
  </si>
  <si>
    <t>083:57:59.44 W</t>
  </si>
  <si>
    <t>035:51:23.71 N</t>
  </si>
  <si>
    <t>083:57:57.74 W</t>
  </si>
  <si>
    <t>035:51:22.55 N</t>
  </si>
  <si>
    <t>083:57:56.12 W</t>
  </si>
  <si>
    <t>035:51:21.39 N</t>
  </si>
  <si>
    <t>083:57:54.49 W</t>
  </si>
  <si>
    <t>035:51:20.23 N</t>
  </si>
  <si>
    <t>083:57:53.41 W</t>
  </si>
  <si>
    <t>083:57:51.71 W</t>
  </si>
  <si>
    <t>083:57:50.32 W</t>
  </si>
  <si>
    <t>035:51:16.29 N</t>
  </si>
  <si>
    <t>083:57:49.16 W</t>
  </si>
  <si>
    <t>083:57:47.85 W</t>
  </si>
  <si>
    <t>035:51:13.82 N</t>
  </si>
  <si>
    <t>083:57:46.46 W</t>
  </si>
  <si>
    <t>035:51:12.28 N</t>
  </si>
  <si>
    <t>083:57:44.91 W</t>
  </si>
  <si>
    <t>035:51:10.65 N</t>
  </si>
  <si>
    <t>083:57:43.37 W</t>
  </si>
  <si>
    <t>035:51:09.34 N</t>
  </si>
  <si>
    <t>083:57:42.13 W</t>
  </si>
  <si>
    <t>035:51:07.79 N</t>
  </si>
  <si>
    <t>083:57:40.51 W</t>
  </si>
  <si>
    <t>035:51:06.40 N</t>
  </si>
  <si>
    <t>083:57:39.28 W</t>
  </si>
  <si>
    <t>035:51:05.09 N</t>
  </si>
  <si>
    <t>083:57:38.04 W</t>
  </si>
  <si>
    <t>035:51:04.09 N</t>
  </si>
  <si>
    <t>083:57:36.96 W</t>
  </si>
  <si>
    <t>035:51:02.62 N</t>
  </si>
  <si>
    <t>083:57:35.49 W</t>
  </si>
  <si>
    <t>035:51:01.31 N</t>
  </si>
  <si>
    <t>083:57:34.10 W</t>
  </si>
  <si>
    <t>035:51:00.07 N</t>
  </si>
  <si>
    <t>083:57:32.94 W</t>
  </si>
  <si>
    <t>035:50:58.29 N</t>
  </si>
  <si>
    <t>083:57:31.40 W</t>
  </si>
  <si>
    <t>035:50:56.90 N</t>
  </si>
  <si>
    <t>083:57:30.01 W</t>
  </si>
  <si>
    <t>035:50:55.51 N</t>
  </si>
  <si>
    <t>035:50:54.20 N</t>
  </si>
  <si>
    <t>083:57:27.69 W</t>
  </si>
  <si>
    <t>035:50:52.73 N</t>
  </si>
  <si>
    <t>083:57:26.45 W</t>
  </si>
  <si>
    <t>035:50:51.57 N</t>
  </si>
  <si>
    <t>083:57:25.22 W</t>
  </si>
  <si>
    <t>035:50:49.49 N</t>
  </si>
  <si>
    <t>083:57:23.52 W</t>
  </si>
  <si>
    <t>035:50:48.25 N</t>
  </si>
  <si>
    <t>083:57:22.36 W</t>
  </si>
  <si>
    <t>083:57:21.35 W</t>
  </si>
  <si>
    <t>083:57:20.35 W</t>
  </si>
  <si>
    <t>083:57:19.11 W</t>
  </si>
  <si>
    <t>035:50:43.31 N</t>
  </si>
  <si>
    <t>083:57:18.03 W</t>
  </si>
  <si>
    <t>035:50:42.15 N</t>
  </si>
  <si>
    <t>083:57:16.95 W</t>
  </si>
  <si>
    <t>035:50:40.76 N</t>
  </si>
  <si>
    <t>035:50:39.21 N</t>
  </si>
  <si>
    <t>083:57:14.48 W</t>
  </si>
  <si>
    <t>035:50:36.90 N</t>
  </si>
  <si>
    <t>083:57:11.85 W</t>
  </si>
  <si>
    <t>035:50:33.73 N</t>
  </si>
  <si>
    <t>083:57:10.85 W</t>
  </si>
  <si>
    <t>035:50:32.42 N</t>
  </si>
  <si>
    <t>035:50:30.79 N</t>
  </si>
  <si>
    <t>083:57:09.77 W</t>
  </si>
  <si>
    <t>035:50:29.25 N</t>
  </si>
  <si>
    <t>083:57:09.61 W</t>
  </si>
  <si>
    <t>035:50:27.16 N</t>
  </si>
  <si>
    <t>083:57:09.38 W</t>
  </si>
  <si>
    <t>035:50:25.23 N</t>
  </si>
  <si>
    <t>083:57:09.54 W</t>
  </si>
  <si>
    <t>035:50:23.69 N</t>
  </si>
  <si>
    <t>083:57:10.00 W</t>
  </si>
  <si>
    <t>035:50:22.37 N</t>
  </si>
  <si>
    <t>083:57:10.38 W</t>
  </si>
  <si>
    <t>035:50:20.29 N</t>
  </si>
  <si>
    <t>035:50:19.13 N</t>
  </si>
  <si>
    <t>035:50:16.81 N</t>
  </si>
  <si>
    <t>083:57:15.71 W</t>
  </si>
  <si>
    <t>035:50:15.81 N</t>
  </si>
  <si>
    <t>035:50:15.19 N</t>
  </si>
  <si>
    <t>083:57:18.88 W</t>
  </si>
  <si>
    <t>035:50:14.34 N</t>
  </si>
  <si>
    <t>083:57:20.66 W</t>
  </si>
  <si>
    <t>083:57:22.05 W</t>
  </si>
  <si>
    <t>083:57:24.75 W</t>
  </si>
  <si>
    <t>035:50:11.71 N</t>
  </si>
  <si>
    <t>083:57:26.22 W</t>
  </si>
  <si>
    <t>035:50:11.02 N</t>
  </si>
  <si>
    <t>083:57:27.92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</si>
</sst>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285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"12/16/2021 14:42:21.739"</f>
        <v>12/16/2021 14:42:21.739</v>
      </c>
      <c r="C2" t="str">
        <f>"FFDFD3C0"</f>
        <v>FFDFD3C0</v>
      </c>
      <c r="D2" t="s">
        <v>113</v>
      </c>
      <c r="E2">
        <v>8</v>
      </c>
      <c r="H2">
        <v>176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"14:42:21.234"</f>
        <v>14:42:21.234</v>
      </c>
      <c r="T2" t="str">
        <f>"14:42:20.834"</f>
        <v>14:42:20.834</v>
      </c>
      <c r="U2" t="str">
        <f t="shared" ref="U2:U65" si="0">"A0F928"</f>
        <v>A0F928</v>
      </c>
      <c r="V2">
        <v>0</v>
      </c>
      <c r="W2">
        <v>0</v>
      </c>
      <c r="X2">
        <v>2</v>
      </c>
      <c r="Z2">
        <v>0</v>
      </c>
      <c r="AA2">
        <v>9</v>
      </c>
      <c r="AB2">
        <v>3</v>
      </c>
      <c r="AC2">
        <v>0</v>
      </c>
      <c r="AD2">
        <v>10</v>
      </c>
      <c r="AE2">
        <v>0</v>
      </c>
      <c r="AF2">
        <v>0</v>
      </c>
      <c r="AG2">
        <v>2</v>
      </c>
      <c r="AH2">
        <v>1</v>
      </c>
      <c r="AI2" t="s">
        <v>116</v>
      </c>
      <c r="AJ2">
        <v>35.799872999999998</v>
      </c>
      <c r="AK2" t="s">
        <v>117</v>
      </c>
      <c r="AL2">
        <v>-84.004103999999998</v>
      </c>
      <c r="AM2">
        <v>25</v>
      </c>
      <c r="AN2">
        <v>950</v>
      </c>
      <c r="AO2" t="s">
        <v>118</v>
      </c>
      <c r="AP2">
        <v>-92</v>
      </c>
      <c r="AQ2">
        <v>-97</v>
      </c>
      <c r="AR2">
        <v>768</v>
      </c>
      <c r="AZ2">
        <v>1200</v>
      </c>
      <c r="BA2">
        <v>0</v>
      </c>
      <c r="BB2" t="str">
        <f>"N162AM  "</f>
        <v xml:space="preserve">N162AM  </v>
      </c>
      <c r="BC2">
        <v>1</v>
      </c>
      <c r="BE2">
        <v>0</v>
      </c>
      <c r="BF2">
        <v>0</v>
      </c>
      <c r="BG2">
        <v>0</v>
      </c>
      <c r="BH2">
        <v>1200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"14:42:21.242"</f>
        <v>14:42:21.242</v>
      </c>
      <c r="CJ2">
        <v>0</v>
      </c>
      <c r="CK2">
        <v>2</v>
      </c>
      <c r="CL2">
        <v>0</v>
      </c>
      <c r="CM2">
        <v>2</v>
      </c>
      <c r="CN2">
        <v>0</v>
      </c>
      <c r="CO2">
        <v>2</v>
      </c>
      <c r="CP2" t="s">
        <v>119</v>
      </c>
      <c r="CQ2">
        <v>232</v>
      </c>
      <c r="CR2">
        <v>2</v>
      </c>
      <c r="CW2">
        <v>5994817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1</v>
      </c>
      <c r="DF2">
        <v>0</v>
      </c>
      <c r="DG2">
        <v>0</v>
      </c>
      <c r="DH2">
        <v>0</v>
      </c>
      <c r="DI2">
        <v>1</v>
      </c>
    </row>
    <row r="3" spans="1:113" x14ac:dyDescent="0.3">
      <c r="A3" t="str">
        <f>"12/16/2021 14:42:22.755"</f>
        <v>12/16/2021 14:42:22.755</v>
      </c>
      <c r="C3" t="str">
        <f>"FFD3D3C0"</f>
        <v>FFD3D3C0</v>
      </c>
      <c r="D3" t="s">
        <v>113</v>
      </c>
      <c r="E3">
        <v>8</v>
      </c>
      <c r="H3">
        <v>176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"14:42:22.234"</f>
        <v>14:42:22.234</v>
      </c>
      <c r="T3" t="str">
        <f>"14:42:20.834"</f>
        <v>14:42:20.834</v>
      </c>
      <c r="U3" t="str">
        <f t="shared" si="0"/>
        <v>A0F928</v>
      </c>
      <c r="V3">
        <v>0</v>
      </c>
      <c r="W3">
        <v>0</v>
      </c>
      <c r="X3">
        <v>2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H3">
        <v>1</v>
      </c>
      <c r="AI3" t="s">
        <v>120</v>
      </c>
      <c r="AJ3">
        <v>35.799401000000003</v>
      </c>
      <c r="AK3" t="s">
        <v>121</v>
      </c>
      <c r="AL3">
        <v>-84.004619000000005</v>
      </c>
      <c r="AM3">
        <v>25</v>
      </c>
      <c r="AN3">
        <v>975</v>
      </c>
      <c r="AO3" t="s">
        <v>118</v>
      </c>
      <c r="AP3">
        <v>-92</v>
      </c>
      <c r="AQ3">
        <v>-97</v>
      </c>
      <c r="AR3">
        <v>768</v>
      </c>
      <c r="AZ3">
        <v>1200</v>
      </c>
      <c r="BA3">
        <v>0</v>
      </c>
      <c r="BE3">
        <v>0</v>
      </c>
      <c r="BF3">
        <v>0</v>
      </c>
      <c r="BG3">
        <v>0</v>
      </c>
      <c r="BH3">
        <v>1200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"14:42:22.234"</f>
        <v>14:42:22.234</v>
      </c>
      <c r="CJ3">
        <v>2</v>
      </c>
      <c r="CK3">
        <v>2</v>
      </c>
      <c r="CL3">
        <v>0</v>
      </c>
      <c r="CM3">
        <v>2</v>
      </c>
      <c r="CN3">
        <v>0</v>
      </c>
      <c r="CO3">
        <v>2</v>
      </c>
      <c r="CP3" t="s">
        <v>119</v>
      </c>
      <c r="CQ3">
        <v>232</v>
      </c>
      <c r="CR3">
        <v>1</v>
      </c>
      <c r="CW3">
        <v>14794393</v>
      </c>
      <c r="CY3">
        <v>0</v>
      </c>
      <c r="CZ3">
        <v>0</v>
      </c>
      <c r="DA3">
        <v>0</v>
      </c>
      <c r="DB3">
        <v>0</v>
      </c>
      <c r="DC3">
        <v>0</v>
      </c>
      <c r="DD3">
        <v>1</v>
      </c>
      <c r="DE3">
        <v>1</v>
      </c>
      <c r="DF3">
        <v>1</v>
      </c>
      <c r="DG3">
        <v>0</v>
      </c>
      <c r="DH3">
        <v>0</v>
      </c>
      <c r="DI3">
        <v>1</v>
      </c>
    </row>
    <row r="4" spans="1:113" x14ac:dyDescent="0.3">
      <c r="A4" t="str">
        <f>"12/16/2021 14:42:24.272"</f>
        <v>12/16/2021 14:42:24.272</v>
      </c>
      <c r="C4" t="str">
        <f>"FFDFD3C0"</f>
        <v>FFDFD3C0</v>
      </c>
      <c r="D4" t="s">
        <v>113</v>
      </c>
      <c r="E4">
        <v>8</v>
      </c>
      <c r="H4">
        <v>176</v>
      </c>
      <c r="I4" t="s">
        <v>114</v>
      </c>
      <c r="J4" t="s">
        <v>115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"14:42:23.773"</f>
        <v>14:42:23.773</v>
      </c>
      <c r="T4" t="str">
        <f>"14:42:22.873"</f>
        <v>14:42:22.873</v>
      </c>
      <c r="U4" t="str">
        <f t="shared" si="0"/>
        <v>A0F928</v>
      </c>
      <c r="V4">
        <v>0</v>
      </c>
      <c r="W4">
        <v>0</v>
      </c>
      <c r="X4">
        <v>2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1</v>
      </c>
      <c r="AI4" t="s">
        <v>122</v>
      </c>
      <c r="AJ4">
        <v>35.798670999999999</v>
      </c>
      <c r="AK4" t="s">
        <v>123</v>
      </c>
      <c r="AL4">
        <v>-84.005476999999999</v>
      </c>
      <c r="AM4">
        <v>25</v>
      </c>
      <c r="AN4">
        <v>975</v>
      </c>
      <c r="AO4" t="s">
        <v>118</v>
      </c>
      <c r="AP4">
        <v>-91</v>
      </c>
      <c r="AQ4">
        <v>-99</v>
      </c>
      <c r="AR4">
        <v>768</v>
      </c>
      <c r="AZ4">
        <v>1200</v>
      </c>
      <c r="BA4">
        <v>0</v>
      </c>
      <c r="BB4" t="str">
        <f>"N162AM  "</f>
        <v xml:space="preserve">N162AM  </v>
      </c>
      <c r="BC4">
        <v>1</v>
      </c>
      <c r="BE4">
        <v>0</v>
      </c>
      <c r="BF4">
        <v>0</v>
      </c>
      <c r="BG4">
        <v>0</v>
      </c>
      <c r="BH4">
        <v>1250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"14:42:23.781"</f>
        <v>14:42:23.781</v>
      </c>
      <c r="CJ4">
        <v>2</v>
      </c>
      <c r="CK4">
        <v>2</v>
      </c>
      <c r="CL4">
        <v>0</v>
      </c>
      <c r="CM4">
        <v>2</v>
      </c>
      <c r="CN4">
        <v>0</v>
      </c>
      <c r="CO4">
        <v>2</v>
      </c>
      <c r="CP4" t="s">
        <v>119</v>
      </c>
      <c r="CQ4">
        <v>232</v>
      </c>
      <c r="CR4">
        <v>2</v>
      </c>
      <c r="CW4">
        <v>5998678</v>
      </c>
      <c r="CY4">
        <v>0</v>
      </c>
      <c r="CZ4">
        <v>0</v>
      </c>
      <c r="DA4">
        <v>0</v>
      </c>
      <c r="DB4">
        <v>0</v>
      </c>
      <c r="DC4">
        <v>0</v>
      </c>
      <c r="DD4">
        <v>1</v>
      </c>
      <c r="DE4">
        <v>1</v>
      </c>
      <c r="DF4">
        <v>0</v>
      </c>
      <c r="DG4">
        <v>0</v>
      </c>
      <c r="DH4">
        <v>0</v>
      </c>
      <c r="DI4">
        <v>1</v>
      </c>
    </row>
    <row r="5" spans="1:113" x14ac:dyDescent="0.3">
      <c r="A5" t="str">
        <f>"12/16/2021 14:42:25.434"</f>
        <v>12/16/2021 14:42:25.434</v>
      </c>
      <c r="C5" t="str">
        <f>"FFDFD3C0"</f>
        <v>FFDFD3C0</v>
      </c>
      <c r="D5" t="s">
        <v>124</v>
      </c>
      <c r="E5">
        <v>5</v>
      </c>
      <c r="F5">
        <v>1005</v>
      </c>
      <c r="G5" t="s">
        <v>114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"14:42:25.180"</f>
        <v>14:42:25.180</v>
      </c>
      <c r="T5" t="str">
        <f>"14:42:24.680"</f>
        <v>14:42:24.680</v>
      </c>
      <c r="U5" t="str">
        <f t="shared" si="0"/>
        <v>A0F928</v>
      </c>
      <c r="V5">
        <v>0</v>
      </c>
      <c r="W5">
        <v>0</v>
      </c>
      <c r="X5">
        <v>2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1</v>
      </c>
      <c r="AI5" t="s">
        <v>126</v>
      </c>
      <c r="AJ5">
        <v>35.797984999999997</v>
      </c>
      <c r="AK5" t="s">
        <v>127</v>
      </c>
      <c r="AL5">
        <v>-84.006163999999998</v>
      </c>
      <c r="AM5">
        <v>25</v>
      </c>
      <c r="AN5">
        <v>1025</v>
      </c>
      <c r="AO5" t="s">
        <v>118</v>
      </c>
      <c r="AP5">
        <v>-90</v>
      </c>
      <c r="AQ5">
        <v>-101</v>
      </c>
      <c r="AR5">
        <v>832</v>
      </c>
      <c r="AZ5">
        <v>300</v>
      </c>
      <c r="BA5">
        <v>1</v>
      </c>
      <c r="BB5" t="str">
        <f>"N162AM  "</f>
        <v xml:space="preserve">N162AM  </v>
      </c>
      <c r="BC5">
        <v>1</v>
      </c>
      <c r="BE5">
        <v>0</v>
      </c>
      <c r="BF5">
        <v>0</v>
      </c>
      <c r="BG5">
        <v>0</v>
      </c>
      <c r="BH5">
        <v>1275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"14:42:25.185"</f>
        <v>14:42:25.185</v>
      </c>
      <c r="CJ5">
        <v>2</v>
      </c>
      <c r="CK5">
        <v>2</v>
      </c>
      <c r="CL5">
        <v>0</v>
      </c>
      <c r="CM5">
        <v>2</v>
      </c>
      <c r="CN5">
        <v>0</v>
      </c>
      <c r="CO5">
        <v>2</v>
      </c>
      <c r="CP5" t="s">
        <v>119</v>
      </c>
      <c r="CQ5">
        <v>232</v>
      </c>
      <c r="CR5">
        <v>2</v>
      </c>
      <c r="CW5">
        <v>6000803</v>
      </c>
      <c r="CY5">
        <v>0</v>
      </c>
      <c r="CZ5">
        <v>0</v>
      </c>
      <c r="DA5">
        <v>0</v>
      </c>
      <c r="DB5">
        <v>0</v>
      </c>
      <c r="DC5">
        <v>0</v>
      </c>
      <c r="DD5">
        <v>1</v>
      </c>
      <c r="DE5">
        <v>0</v>
      </c>
      <c r="DF5">
        <v>0</v>
      </c>
      <c r="DG5">
        <v>0</v>
      </c>
      <c r="DH5">
        <v>0</v>
      </c>
      <c r="DI5">
        <v>0</v>
      </c>
    </row>
    <row r="6" spans="1:113" x14ac:dyDescent="0.3">
      <c r="A6" t="str">
        <f>"12/16/2021 14:42:25.216"</f>
        <v>12/16/2021 14:42:25.216</v>
      </c>
      <c r="C6" t="str">
        <f>"FFD3D3C0"</f>
        <v>FFD3D3C0</v>
      </c>
      <c r="D6" t="s">
        <v>113</v>
      </c>
      <c r="E6">
        <v>8</v>
      </c>
      <c r="H6">
        <v>176</v>
      </c>
      <c r="I6" t="s">
        <v>114</v>
      </c>
      <c r="J6" t="s">
        <v>115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"14:42:24.664"</f>
        <v>14:42:24.664</v>
      </c>
      <c r="T6" t="str">
        <f>"14:42:24.264"</f>
        <v>14:42:24.264</v>
      </c>
      <c r="U6" t="str">
        <f t="shared" si="0"/>
        <v>A0F928</v>
      </c>
      <c r="V6">
        <v>0</v>
      </c>
      <c r="W6">
        <v>0</v>
      </c>
      <c r="X6">
        <v>2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1</v>
      </c>
      <c r="AI6" t="s">
        <v>128</v>
      </c>
      <c r="AJ6">
        <v>35.798242000000002</v>
      </c>
      <c r="AK6" t="s">
        <v>129</v>
      </c>
      <c r="AL6">
        <v>-84.005906999999993</v>
      </c>
      <c r="AM6">
        <v>25</v>
      </c>
      <c r="AN6">
        <v>1000</v>
      </c>
      <c r="AO6" t="s">
        <v>118</v>
      </c>
      <c r="AP6">
        <v>-90</v>
      </c>
      <c r="AQ6">
        <v>-100</v>
      </c>
      <c r="AR6">
        <v>896</v>
      </c>
      <c r="AZ6">
        <v>1200</v>
      </c>
      <c r="BA6">
        <v>0</v>
      </c>
      <c r="BE6">
        <v>0</v>
      </c>
      <c r="BF6">
        <v>0</v>
      </c>
      <c r="BG6">
        <v>0</v>
      </c>
      <c r="BH6">
        <v>1250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"14:42:24.669"</f>
        <v>14:42:24.669</v>
      </c>
      <c r="CJ6">
        <v>2</v>
      </c>
      <c r="CK6">
        <v>2</v>
      </c>
      <c r="CL6">
        <v>0</v>
      </c>
      <c r="CM6">
        <v>2</v>
      </c>
      <c r="CN6">
        <v>0</v>
      </c>
      <c r="CO6">
        <v>2</v>
      </c>
      <c r="CP6" t="s">
        <v>119</v>
      </c>
      <c r="CQ6">
        <v>232</v>
      </c>
      <c r="CR6">
        <v>1</v>
      </c>
      <c r="CW6">
        <v>14798200</v>
      </c>
      <c r="CY6">
        <v>0</v>
      </c>
      <c r="CZ6">
        <v>0</v>
      </c>
      <c r="DA6">
        <v>1</v>
      </c>
      <c r="DB6">
        <v>0</v>
      </c>
      <c r="DC6">
        <v>0</v>
      </c>
      <c r="DD6">
        <v>1</v>
      </c>
      <c r="DE6">
        <v>0</v>
      </c>
      <c r="DF6">
        <v>0</v>
      </c>
      <c r="DG6">
        <v>0</v>
      </c>
      <c r="DH6">
        <v>0</v>
      </c>
      <c r="DI6">
        <v>0</v>
      </c>
    </row>
    <row r="7" spans="1:113" x14ac:dyDescent="0.3">
      <c r="A7" t="str">
        <f>"12/16/2021 14:42:25.434"</f>
        <v>12/16/2021 14:42:25.434</v>
      </c>
      <c r="C7" t="str">
        <f>"FFDFD3C0"</f>
        <v>FFDFD3C0</v>
      </c>
      <c r="D7" t="s">
        <v>124</v>
      </c>
      <c r="E7">
        <v>10</v>
      </c>
      <c r="F7">
        <v>1010</v>
      </c>
      <c r="G7" t="s">
        <v>130</v>
      </c>
      <c r="J7" t="s">
        <v>125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"14:42:25.180"</f>
        <v>14:42:25.180</v>
      </c>
      <c r="T7" t="str">
        <f>"14:42:24.680"</f>
        <v>14:42:24.680</v>
      </c>
      <c r="U7" t="str">
        <f t="shared" si="0"/>
        <v>A0F928</v>
      </c>
      <c r="V7">
        <v>0</v>
      </c>
      <c r="W7">
        <v>0</v>
      </c>
      <c r="X7">
        <v>2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1</v>
      </c>
      <c r="AI7" t="s">
        <v>126</v>
      </c>
      <c r="AJ7">
        <v>35.797984999999997</v>
      </c>
      <c r="AK7" t="s">
        <v>127</v>
      </c>
      <c r="AL7">
        <v>-84.006163999999998</v>
      </c>
      <c r="AM7">
        <v>25</v>
      </c>
      <c r="AN7">
        <v>1025</v>
      </c>
      <c r="AO7" t="s">
        <v>118</v>
      </c>
      <c r="AP7">
        <v>-90</v>
      </c>
      <c r="AQ7">
        <v>-101</v>
      </c>
      <c r="AR7">
        <v>832</v>
      </c>
      <c r="AZ7">
        <v>300</v>
      </c>
      <c r="BA7">
        <v>1</v>
      </c>
      <c r="BB7" t="str">
        <f>"N162AM  "</f>
        <v xml:space="preserve">N162AM  </v>
      </c>
      <c r="BC7">
        <v>1</v>
      </c>
      <c r="BE7">
        <v>0</v>
      </c>
      <c r="BF7">
        <v>0</v>
      </c>
      <c r="BG7">
        <v>0</v>
      </c>
      <c r="BH7">
        <v>1275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"14:42:25.185"</f>
        <v>14:42:25.185</v>
      </c>
      <c r="CJ7">
        <v>2</v>
      </c>
      <c r="CK7">
        <v>2</v>
      </c>
      <c r="CL7">
        <v>0</v>
      </c>
      <c r="CM7">
        <v>2</v>
      </c>
      <c r="CN7">
        <v>0</v>
      </c>
      <c r="CO7">
        <v>2</v>
      </c>
      <c r="CP7" t="s">
        <v>119</v>
      </c>
      <c r="CQ7">
        <v>232</v>
      </c>
      <c r="CR7">
        <v>2</v>
      </c>
      <c r="CW7">
        <v>6000803</v>
      </c>
      <c r="CY7">
        <v>0</v>
      </c>
      <c r="CZ7">
        <v>0</v>
      </c>
      <c r="DA7">
        <v>1</v>
      </c>
      <c r="DB7">
        <v>0</v>
      </c>
      <c r="DC7">
        <v>0</v>
      </c>
      <c r="DD7">
        <v>1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"12/16/2021 14:42:26.278"</f>
        <v>12/16/2021 14:42:26.278</v>
      </c>
      <c r="C8" t="str">
        <f>"FFD3D3C0"</f>
        <v>FFD3D3C0</v>
      </c>
      <c r="D8" t="s">
        <v>124</v>
      </c>
      <c r="E8">
        <v>5</v>
      </c>
      <c r="F8">
        <v>1005</v>
      </c>
      <c r="G8" t="s">
        <v>114</v>
      </c>
      <c r="J8" t="s">
        <v>125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"14:42:25.750"</f>
        <v>14:42:25.750</v>
      </c>
      <c r="T8" t="str">
        <f>"14:42:25.250"</f>
        <v>14:42:25.250</v>
      </c>
      <c r="U8" t="str">
        <f t="shared" si="0"/>
        <v>A0F928</v>
      </c>
      <c r="V8">
        <v>0</v>
      </c>
      <c r="W8">
        <v>0</v>
      </c>
      <c r="X8">
        <v>2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1</v>
      </c>
      <c r="AI8" t="s">
        <v>131</v>
      </c>
      <c r="AJ8">
        <v>35.797705999999998</v>
      </c>
      <c r="AK8" t="s">
        <v>132</v>
      </c>
      <c r="AL8">
        <v>-84.006443000000004</v>
      </c>
      <c r="AM8">
        <v>25</v>
      </c>
      <c r="AN8">
        <v>1025</v>
      </c>
      <c r="AO8" t="s">
        <v>118</v>
      </c>
      <c r="AP8">
        <v>-90</v>
      </c>
      <c r="AQ8">
        <v>-101</v>
      </c>
      <c r="AR8">
        <v>832</v>
      </c>
      <c r="AZ8">
        <v>300</v>
      </c>
      <c r="BA8">
        <v>1</v>
      </c>
      <c r="BE8">
        <v>0</v>
      </c>
      <c r="BF8">
        <v>0</v>
      </c>
      <c r="BG8">
        <v>0</v>
      </c>
      <c r="BH8">
        <v>1250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"14:42:25.754"</f>
        <v>14:42:25.754</v>
      </c>
      <c r="CJ8">
        <v>2</v>
      </c>
      <c r="CK8">
        <v>2</v>
      </c>
      <c r="CL8">
        <v>0</v>
      </c>
      <c r="CM8">
        <v>2</v>
      </c>
      <c r="CN8">
        <v>0</v>
      </c>
      <c r="CO8">
        <v>3</v>
      </c>
      <c r="CP8" t="s">
        <v>119</v>
      </c>
      <c r="CQ8">
        <v>232</v>
      </c>
      <c r="CR8">
        <v>1</v>
      </c>
      <c r="CW8">
        <v>14799808</v>
      </c>
      <c r="CY8">
        <v>0</v>
      </c>
      <c r="CZ8">
        <v>0</v>
      </c>
      <c r="DA8">
        <v>0</v>
      </c>
      <c r="DB8">
        <v>0</v>
      </c>
      <c r="DC8">
        <v>0</v>
      </c>
      <c r="DD8">
        <v>1</v>
      </c>
      <c r="DE8">
        <v>1</v>
      </c>
      <c r="DF8">
        <v>1</v>
      </c>
      <c r="DG8">
        <v>0</v>
      </c>
      <c r="DH8">
        <v>0</v>
      </c>
      <c r="DI8">
        <v>1</v>
      </c>
    </row>
    <row r="9" spans="1:113" x14ac:dyDescent="0.3">
      <c r="A9" t="str">
        <f>"12/16/2021 14:42:26.278"</f>
        <v>12/16/2021 14:42:26.278</v>
      </c>
      <c r="C9" t="str">
        <f>"FFD3D3C0"</f>
        <v>FFD3D3C0</v>
      </c>
      <c r="D9" t="s">
        <v>124</v>
      </c>
      <c r="E9">
        <v>10</v>
      </c>
      <c r="F9">
        <v>1010</v>
      </c>
      <c r="G9" t="s">
        <v>130</v>
      </c>
      <c r="J9" t="s">
        <v>125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"14:42:25.750"</f>
        <v>14:42:25.750</v>
      </c>
      <c r="T9" t="str">
        <f>"14:42:25.250"</f>
        <v>14:42:25.250</v>
      </c>
      <c r="U9" t="str">
        <f t="shared" si="0"/>
        <v>A0F928</v>
      </c>
      <c r="V9">
        <v>0</v>
      </c>
      <c r="W9">
        <v>0</v>
      </c>
      <c r="X9">
        <v>2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1</v>
      </c>
      <c r="AI9" t="s">
        <v>131</v>
      </c>
      <c r="AJ9">
        <v>35.797705999999998</v>
      </c>
      <c r="AK9" t="s">
        <v>132</v>
      </c>
      <c r="AL9">
        <v>-84.006443000000004</v>
      </c>
      <c r="AM9">
        <v>25</v>
      </c>
      <c r="AN9">
        <v>1025</v>
      </c>
      <c r="AO9" t="s">
        <v>118</v>
      </c>
      <c r="AP9">
        <v>-90</v>
      </c>
      <c r="AQ9">
        <v>-101</v>
      </c>
      <c r="AR9">
        <v>832</v>
      </c>
      <c r="AZ9">
        <v>300</v>
      </c>
      <c r="BA9">
        <v>1</v>
      </c>
      <c r="BE9">
        <v>0</v>
      </c>
      <c r="BF9">
        <v>0</v>
      </c>
      <c r="BG9">
        <v>0</v>
      </c>
      <c r="BH9">
        <v>1250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"14:42:25.754"</f>
        <v>14:42:25.754</v>
      </c>
      <c r="CJ9">
        <v>2</v>
      </c>
      <c r="CK9">
        <v>2</v>
      </c>
      <c r="CL9">
        <v>0</v>
      </c>
      <c r="CM9">
        <v>2</v>
      </c>
      <c r="CN9">
        <v>0</v>
      </c>
      <c r="CO9">
        <v>3</v>
      </c>
      <c r="CP9" t="s">
        <v>119</v>
      </c>
      <c r="CQ9">
        <v>232</v>
      </c>
      <c r="CR9">
        <v>1</v>
      </c>
      <c r="CW9">
        <v>14799808</v>
      </c>
      <c r="CY9">
        <v>0</v>
      </c>
      <c r="CZ9">
        <v>0</v>
      </c>
      <c r="DA9">
        <v>1</v>
      </c>
      <c r="DB9">
        <v>0</v>
      </c>
      <c r="DC9">
        <v>0</v>
      </c>
      <c r="DD9">
        <v>1</v>
      </c>
      <c r="DE9">
        <v>1</v>
      </c>
      <c r="DF9">
        <v>1</v>
      </c>
      <c r="DG9">
        <v>0</v>
      </c>
      <c r="DH9">
        <v>0</v>
      </c>
      <c r="DI9">
        <v>1</v>
      </c>
    </row>
    <row r="10" spans="1:113" x14ac:dyDescent="0.3">
      <c r="A10" t="str">
        <f>"12/16/2021 14:42:26.278"</f>
        <v>12/16/2021 14:42:26.278</v>
      </c>
      <c r="C10" t="str">
        <f>"FFD3D3C0"</f>
        <v>FFD3D3C0</v>
      </c>
      <c r="D10" t="s">
        <v>113</v>
      </c>
      <c r="E10">
        <v>8</v>
      </c>
      <c r="H10">
        <v>176</v>
      </c>
      <c r="I10" t="s">
        <v>114</v>
      </c>
      <c r="J10" t="s">
        <v>115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"14:42:25.750"</f>
        <v>14:42:25.750</v>
      </c>
      <c r="T10" t="str">
        <f>"14:42:25.250"</f>
        <v>14:42:25.250</v>
      </c>
      <c r="U10" t="str">
        <f t="shared" si="0"/>
        <v>A0F928</v>
      </c>
      <c r="V10">
        <v>0</v>
      </c>
      <c r="W10">
        <v>0</v>
      </c>
      <c r="X10">
        <v>2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1</v>
      </c>
      <c r="AI10" t="s">
        <v>131</v>
      </c>
      <c r="AJ10">
        <v>35.797705999999998</v>
      </c>
      <c r="AK10" t="s">
        <v>132</v>
      </c>
      <c r="AL10">
        <v>-84.006443000000004</v>
      </c>
      <c r="AM10">
        <v>25</v>
      </c>
      <c r="AN10">
        <v>1025</v>
      </c>
      <c r="AO10" t="s">
        <v>118</v>
      </c>
      <c r="AP10">
        <v>-90</v>
      </c>
      <c r="AQ10">
        <v>-101</v>
      </c>
      <c r="AR10">
        <v>832</v>
      </c>
      <c r="AZ10">
        <v>300</v>
      </c>
      <c r="BA10">
        <v>1</v>
      </c>
      <c r="BE10">
        <v>0</v>
      </c>
      <c r="BF10">
        <v>0</v>
      </c>
      <c r="BG10">
        <v>0</v>
      </c>
      <c r="BH10">
        <v>1250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"14:42:25.754"</f>
        <v>14:42:25.754</v>
      </c>
      <c r="CJ10">
        <v>2</v>
      </c>
      <c r="CK10">
        <v>2</v>
      </c>
      <c r="CL10">
        <v>0</v>
      </c>
      <c r="CM10">
        <v>2</v>
      </c>
      <c r="CN10">
        <v>0</v>
      </c>
      <c r="CO10">
        <v>3</v>
      </c>
      <c r="CP10" t="s">
        <v>119</v>
      </c>
      <c r="CQ10">
        <v>232</v>
      </c>
      <c r="CR10">
        <v>1</v>
      </c>
      <c r="CW10">
        <v>14799808</v>
      </c>
      <c r="CY10">
        <v>0</v>
      </c>
      <c r="CZ10">
        <v>0</v>
      </c>
      <c r="DA10">
        <v>1</v>
      </c>
      <c r="DB10">
        <v>0</v>
      </c>
      <c r="DC10">
        <v>0</v>
      </c>
      <c r="DD10">
        <v>1</v>
      </c>
      <c r="DE10">
        <v>1</v>
      </c>
      <c r="DF10">
        <v>1</v>
      </c>
      <c r="DG10">
        <v>0</v>
      </c>
      <c r="DH10">
        <v>0</v>
      </c>
      <c r="DI10">
        <v>1</v>
      </c>
    </row>
    <row r="11" spans="1:113" x14ac:dyDescent="0.3">
      <c r="A11" t="str">
        <f>"12/16/2021 14:42:26.278"</f>
        <v>12/16/2021 14:42:26.278</v>
      </c>
      <c r="C11" t="str">
        <f>"FFD3D3C0"</f>
        <v>FFD3D3C0</v>
      </c>
      <c r="D11" t="s">
        <v>133</v>
      </c>
      <c r="E11">
        <v>44</v>
      </c>
      <c r="H11">
        <v>131</v>
      </c>
      <c r="I11" t="s">
        <v>134</v>
      </c>
      <c r="J11" t="s">
        <v>135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"14:42:25.750"</f>
        <v>14:42:25.750</v>
      </c>
      <c r="T11" t="str">
        <f>"14:42:25.250"</f>
        <v>14:42:25.250</v>
      </c>
      <c r="U11" t="str">
        <f t="shared" si="0"/>
        <v>A0F928</v>
      </c>
      <c r="V11">
        <v>0</v>
      </c>
      <c r="W11">
        <v>0</v>
      </c>
      <c r="X11">
        <v>2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1</v>
      </c>
      <c r="AI11" t="s">
        <v>131</v>
      </c>
      <c r="AJ11">
        <v>35.797705999999998</v>
      </c>
      <c r="AK11" t="s">
        <v>132</v>
      </c>
      <c r="AL11">
        <v>-84.006443000000004</v>
      </c>
      <c r="AM11">
        <v>25</v>
      </c>
      <c r="AN11">
        <v>1025</v>
      </c>
      <c r="AO11" t="s">
        <v>118</v>
      </c>
      <c r="AP11">
        <v>-90</v>
      </c>
      <c r="AQ11">
        <v>-101</v>
      </c>
      <c r="AR11">
        <v>832</v>
      </c>
      <c r="AZ11">
        <v>300</v>
      </c>
      <c r="BA11">
        <v>1</v>
      </c>
      <c r="BE11">
        <v>0</v>
      </c>
      <c r="BF11">
        <v>0</v>
      </c>
      <c r="BG11">
        <v>0</v>
      </c>
      <c r="BH11">
        <v>1250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"14:42:25.754"</f>
        <v>14:42:25.754</v>
      </c>
      <c r="CJ11">
        <v>2</v>
      </c>
      <c r="CK11">
        <v>2</v>
      </c>
      <c r="CL11">
        <v>0</v>
      </c>
      <c r="CM11">
        <v>2</v>
      </c>
      <c r="CN11">
        <v>0</v>
      </c>
      <c r="CO11">
        <v>3</v>
      </c>
      <c r="CP11" t="s">
        <v>119</v>
      </c>
      <c r="CQ11">
        <v>232</v>
      </c>
      <c r="CR11">
        <v>1</v>
      </c>
      <c r="CW11">
        <v>14799808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1</v>
      </c>
      <c r="DE11">
        <v>1</v>
      </c>
      <c r="DF11">
        <v>1</v>
      </c>
      <c r="DG11">
        <v>0</v>
      </c>
      <c r="DH11">
        <v>0</v>
      </c>
      <c r="DI11">
        <v>1</v>
      </c>
    </row>
    <row r="12" spans="1:113" x14ac:dyDescent="0.3">
      <c r="A12" t="str">
        <f>"12/16/2021 14:42:27.325"</f>
        <v>12/16/2021 14:42:27.325</v>
      </c>
      <c r="C12" t="str">
        <f t="shared" ref="C12:C75" si="1">"FFDFD3C0"</f>
        <v>FFDFD3C0</v>
      </c>
      <c r="D12" t="s">
        <v>133</v>
      </c>
      <c r="E12">
        <v>44</v>
      </c>
      <c r="H12">
        <v>131</v>
      </c>
      <c r="I12" t="s">
        <v>134</v>
      </c>
      <c r="J12" t="s">
        <v>135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"14:42:27.156"</f>
        <v>14:42:27.156</v>
      </c>
      <c r="T12" t="str">
        <f>"14:42:26.756"</f>
        <v>14:42:26.756</v>
      </c>
      <c r="U12" t="str">
        <f t="shared" si="0"/>
        <v>A0F928</v>
      </c>
      <c r="V12">
        <v>0</v>
      </c>
      <c r="W12">
        <v>0</v>
      </c>
      <c r="X12">
        <v>2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1</v>
      </c>
      <c r="AI12" t="s">
        <v>136</v>
      </c>
      <c r="AJ12">
        <v>35.797018999999999</v>
      </c>
      <c r="AK12" t="s">
        <v>137</v>
      </c>
      <c r="AL12">
        <v>-84.007193999999998</v>
      </c>
      <c r="AM12">
        <v>25</v>
      </c>
      <c r="AN12">
        <v>1050</v>
      </c>
      <c r="AO12" t="s">
        <v>118</v>
      </c>
      <c r="AP12">
        <v>-88</v>
      </c>
      <c r="AQ12">
        <v>-103</v>
      </c>
      <c r="AR12">
        <v>896</v>
      </c>
      <c r="AZ12">
        <v>300</v>
      </c>
      <c r="BA12">
        <v>1</v>
      </c>
      <c r="BB12" t="str">
        <f t="shared" ref="BB12:BB75" si="2">"N162AM  "</f>
        <v xml:space="preserve">N162AM  </v>
      </c>
      <c r="BC12">
        <v>1</v>
      </c>
      <c r="BE12">
        <v>0</v>
      </c>
      <c r="BF12">
        <v>0</v>
      </c>
      <c r="BG12">
        <v>0</v>
      </c>
      <c r="BH12">
        <v>1300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"14:42:27.163"</f>
        <v>14:42:27.163</v>
      </c>
      <c r="CJ12">
        <v>2</v>
      </c>
      <c r="CK12">
        <v>2</v>
      </c>
      <c r="CL12">
        <v>0</v>
      </c>
      <c r="CM12">
        <v>2</v>
      </c>
      <c r="CN12">
        <v>0</v>
      </c>
      <c r="CO12">
        <v>2</v>
      </c>
      <c r="CP12" t="s">
        <v>119</v>
      </c>
      <c r="CQ12">
        <v>232</v>
      </c>
      <c r="CR12">
        <v>2</v>
      </c>
      <c r="CW12">
        <v>6003746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1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"12/16/2021 14:42:27.341"</f>
        <v>12/16/2021 14:42:27.341</v>
      </c>
      <c r="C13" t="str">
        <f t="shared" si="1"/>
        <v>FFDFD3C0</v>
      </c>
      <c r="D13" t="s">
        <v>124</v>
      </c>
      <c r="E13">
        <v>5</v>
      </c>
      <c r="F13">
        <v>1005</v>
      </c>
      <c r="G13" t="s">
        <v>114</v>
      </c>
      <c r="J13" t="s">
        <v>125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"14:42:27.156"</f>
        <v>14:42:27.156</v>
      </c>
      <c r="T13" t="str">
        <f>"14:42:26.756"</f>
        <v>14:42:26.756</v>
      </c>
      <c r="U13" t="str">
        <f t="shared" si="0"/>
        <v>A0F928</v>
      </c>
      <c r="V13">
        <v>0</v>
      </c>
      <c r="W13">
        <v>0</v>
      </c>
      <c r="X13">
        <v>2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1</v>
      </c>
      <c r="AI13" t="s">
        <v>136</v>
      </c>
      <c r="AJ13">
        <v>35.797018999999999</v>
      </c>
      <c r="AK13" t="s">
        <v>137</v>
      </c>
      <c r="AL13">
        <v>-84.007193999999998</v>
      </c>
      <c r="AM13">
        <v>25</v>
      </c>
      <c r="AN13">
        <v>1050</v>
      </c>
      <c r="AO13" t="s">
        <v>118</v>
      </c>
      <c r="AP13">
        <v>-88</v>
      </c>
      <c r="AQ13">
        <v>-103</v>
      </c>
      <c r="AR13">
        <v>896</v>
      </c>
      <c r="AZ13">
        <v>300</v>
      </c>
      <c r="BA13">
        <v>1</v>
      </c>
      <c r="BB13" t="str">
        <f t="shared" si="2"/>
        <v xml:space="preserve">N162AM  </v>
      </c>
      <c r="BC13">
        <v>1</v>
      </c>
      <c r="BE13">
        <v>0</v>
      </c>
      <c r="BF13">
        <v>0</v>
      </c>
      <c r="BG13">
        <v>0</v>
      </c>
      <c r="BH13">
        <v>1300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"14:42:27.163"</f>
        <v>14:42:27.163</v>
      </c>
      <c r="CJ13">
        <v>2</v>
      </c>
      <c r="CK13">
        <v>2</v>
      </c>
      <c r="CL13">
        <v>0</v>
      </c>
      <c r="CM13">
        <v>2</v>
      </c>
      <c r="CN13">
        <v>0</v>
      </c>
      <c r="CO13">
        <v>2</v>
      </c>
      <c r="CP13" t="s">
        <v>119</v>
      </c>
      <c r="CQ13">
        <v>232</v>
      </c>
      <c r="CR13">
        <v>2</v>
      </c>
      <c r="CW13">
        <v>6003746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1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"12/16/2021 14:42:27.372"</f>
        <v>12/16/2021 14:42:27.372</v>
      </c>
      <c r="C14" t="str">
        <f t="shared" si="1"/>
        <v>FFDFD3C0</v>
      </c>
      <c r="D14" t="s">
        <v>113</v>
      </c>
      <c r="E14">
        <v>8</v>
      </c>
      <c r="H14">
        <v>176</v>
      </c>
      <c r="I14" t="s">
        <v>114</v>
      </c>
      <c r="J14" t="s">
        <v>115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"14:42:27.156"</f>
        <v>14:42:27.156</v>
      </c>
      <c r="T14" t="str">
        <f>"14:42:26.756"</f>
        <v>14:42:26.756</v>
      </c>
      <c r="U14" t="str">
        <f t="shared" si="0"/>
        <v>A0F928</v>
      </c>
      <c r="V14">
        <v>0</v>
      </c>
      <c r="W14">
        <v>0</v>
      </c>
      <c r="X14">
        <v>2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1</v>
      </c>
      <c r="AI14" t="s">
        <v>136</v>
      </c>
      <c r="AJ14">
        <v>35.797018999999999</v>
      </c>
      <c r="AK14" t="s">
        <v>137</v>
      </c>
      <c r="AL14">
        <v>-84.007193999999998</v>
      </c>
      <c r="AM14">
        <v>25</v>
      </c>
      <c r="AN14">
        <v>1050</v>
      </c>
      <c r="AO14" t="s">
        <v>118</v>
      </c>
      <c r="AP14">
        <v>-88</v>
      </c>
      <c r="AQ14">
        <v>-103</v>
      </c>
      <c r="AR14">
        <v>896</v>
      </c>
      <c r="AZ14">
        <v>300</v>
      </c>
      <c r="BA14">
        <v>1</v>
      </c>
      <c r="BB14" t="str">
        <f t="shared" si="2"/>
        <v xml:space="preserve">N162AM  </v>
      </c>
      <c r="BC14">
        <v>1</v>
      </c>
      <c r="BE14">
        <v>0</v>
      </c>
      <c r="BF14">
        <v>0</v>
      </c>
      <c r="BG14">
        <v>0</v>
      </c>
      <c r="BH14">
        <v>1300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"14:42:27.163"</f>
        <v>14:42:27.163</v>
      </c>
      <c r="CJ14">
        <v>2</v>
      </c>
      <c r="CK14">
        <v>2</v>
      </c>
      <c r="CL14">
        <v>0</v>
      </c>
      <c r="CM14">
        <v>2</v>
      </c>
      <c r="CN14">
        <v>0</v>
      </c>
      <c r="CO14">
        <v>2</v>
      </c>
      <c r="CP14" t="s">
        <v>119</v>
      </c>
      <c r="CQ14">
        <v>232</v>
      </c>
      <c r="CR14">
        <v>2</v>
      </c>
      <c r="CW14">
        <v>6003746</v>
      </c>
      <c r="CY14">
        <v>0</v>
      </c>
      <c r="CZ14">
        <v>0</v>
      </c>
      <c r="DA14">
        <v>1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"12/16/2021 14:42:27.388"</f>
        <v>12/16/2021 14:42:27.388</v>
      </c>
      <c r="C15" t="str">
        <f t="shared" si="1"/>
        <v>FFDFD3C0</v>
      </c>
      <c r="D15" t="s">
        <v>124</v>
      </c>
      <c r="E15">
        <v>10</v>
      </c>
      <c r="F15">
        <v>1010</v>
      </c>
      <c r="G15" t="s">
        <v>130</v>
      </c>
      <c r="J15" t="s">
        <v>125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"14:42:27.156"</f>
        <v>14:42:27.156</v>
      </c>
      <c r="T15" t="str">
        <f>"14:42:26.756"</f>
        <v>14:42:26.756</v>
      </c>
      <c r="U15" t="str">
        <f t="shared" si="0"/>
        <v>A0F928</v>
      </c>
      <c r="V15">
        <v>0</v>
      </c>
      <c r="W15">
        <v>0</v>
      </c>
      <c r="X15">
        <v>2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1</v>
      </c>
      <c r="AI15" t="s">
        <v>136</v>
      </c>
      <c r="AJ15">
        <v>35.797018999999999</v>
      </c>
      <c r="AK15" t="s">
        <v>137</v>
      </c>
      <c r="AL15">
        <v>-84.007193999999998</v>
      </c>
      <c r="AM15">
        <v>25</v>
      </c>
      <c r="AN15">
        <v>1050</v>
      </c>
      <c r="AO15" t="s">
        <v>118</v>
      </c>
      <c r="AP15">
        <v>-88</v>
      </c>
      <c r="AQ15">
        <v>-103</v>
      </c>
      <c r="AR15">
        <v>896</v>
      </c>
      <c r="AZ15">
        <v>300</v>
      </c>
      <c r="BA15">
        <v>1</v>
      </c>
      <c r="BB15" t="str">
        <f t="shared" si="2"/>
        <v xml:space="preserve">N162AM  </v>
      </c>
      <c r="BC15">
        <v>1</v>
      </c>
      <c r="BE15">
        <v>0</v>
      </c>
      <c r="BF15">
        <v>0</v>
      </c>
      <c r="BG15">
        <v>0</v>
      </c>
      <c r="BH15">
        <v>1300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"14:42:27.163"</f>
        <v>14:42:27.163</v>
      </c>
      <c r="CJ15">
        <v>2</v>
      </c>
      <c r="CK15">
        <v>2</v>
      </c>
      <c r="CL15">
        <v>0</v>
      </c>
      <c r="CM15">
        <v>2</v>
      </c>
      <c r="CN15">
        <v>0</v>
      </c>
      <c r="CO15">
        <v>2</v>
      </c>
      <c r="CP15" t="s">
        <v>119</v>
      </c>
      <c r="CQ15">
        <v>232</v>
      </c>
      <c r="CR15">
        <v>2</v>
      </c>
      <c r="CW15">
        <v>6003746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"12/16/2021 14:42:29.139"</f>
        <v>12/16/2021 14:42:29.139</v>
      </c>
      <c r="C16" t="str">
        <f t="shared" si="1"/>
        <v>FFDFD3C0</v>
      </c>
      <c r="D16" t="s">
        <v>124</v>
      </c>
      <c r="E16">
        <v>5</v>
      </c>
      <c r="F16">
        <v>1005</v>
      </c>
      <c r="G16" t="s">
        <v>114</v>
      </c>
      <c r="J16" t="s">
        <v>125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"14:42:28.664"</f>
        <v>14:42:28.664</v>
      </c>
      <c r="T16" t="str">
        <f>"14:42:27.164"</f>
        <v>14:42:27.164</v>
      </c>
      <c r="U16" t="str">
        <f t="shared" si="0"/>
        <v>A0F928</v>
      </c>
      <c r="V16">
        <v>0</v>
      </c>
      <c r="W16">
        <v>0</v>
      </c>
      <c r="X16">
        <v>2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1</v>
      </c>
      <c r="AI16" t="s">
        <v>138</v>
      </c>
      <c r="AJ16">
        <v>35.796354000000001</v>
      </c>
      <c r="AK16" t="s">
        <v>139</v>
      </c>
      <c r="AL16">
        <v>-84.007902000000001</v>
      </c>
      <c r="AM16">
        <v>25</v>
      </c>
      <c r="AN16">
        <v>1050</v>
      </c>
      <c r="AO16" t="s">
        <v>118</v>
      </c>
      <c r="AP16">
        <v>-88</v>
      </c>
      <c r="AQ16">
        <v>-103</v>
      </c>
      <c r="AR16">
        <v>896</v>
      </c>
      <c r="AZ16">
        <v>300</v>
      </c>
      <c r="BA16">
        <v>1</v>
      </c>
      <c r="BB16" t="str">
        <f t="shared" si="2"/>
        <v xml:space="preserve">N162AM  </v>
      </c>
      <c r="BC16">
        <v>1</v>
      </c>
      <c r="BE16">
        <v>0</v>
      </c>
      <c r="BF16">
        <v>0</v>
      </c>
      <c r="BG16">
        <v>0</v>
      </c>
      <c r="BH16">
        <v>1275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"14:42:28.665"</f>
        <v>14:42:28.665</v>
      </c>
      <c r="CJ16">
        <v>2</v>
      </c>
      <c r="CK16">
        <v>2</v>
      </c>
      <c r="CL16">
        <v>0</v>
      </c>
      <c r="CM16">
        <v>2</v>
      </c>
      <c r="CN16">
        <v>0</v>
      </c>
      <c r="CO16">
        <v>2</v>
      </c>
      <c r="CP16" t="s">
        <v>119</v>
      </c>
      <c r="CQ16">
        <v>232</v>
      </c>
      <c r="CR16">
        <v>1</v>
      </c>
      <c r="CW16">
        <v>14804398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"12/16/2021 14:42:29.139"</f>
        <v>12/16/2021 14:42:29.139</v>
      </c>
      <c r="C17" t="str">
        <f t="shared" si="1"/>
        <v>FFDFD3C0</v>
      </c>
      <c r="D17" t="s">
        <v>124</v>
      </c>
      <c r="E17">
        <v>10</v>
      </c>
      <c r="F17">
        <v>1010</v>
      </c>
      <c r="G17" t="s">
        <v>130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"14:42:28.664"</f>
        <v>14:42:28.664</v>
      </c>
      <c r="T17" t="str">
        <f>"14:42:27.164"</f>
        <v>14:42:27.164</v>
      </c>
      <c r="U17" t="str">
        <f t="shared" si="0"/>
        <v>A0F928</v>
      </c>
      <c r="V17">
        <v>0</v>
      </c>
      <c r="W17">
        <v>0</v>
      </c>
      <c r="X17">
        <v>2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1</v>
      </c>
      <c r="AI17" t="s">
        <v>138</v>
      </c>
      <c r="AJ17">
        <v>35.796354000000001</v>
      </c>
      <c r="AK17" t="s">
        <v>139</v>
      </c>
      <c r="AL17">
        <v>-84.007902000000001</v>
      </c>
      <c r="AM17">
        <v>25</v>
      </c>
      <c r="AN17">
        <v>1050</v>
      </c>
      <c r="AO17" t="s">
        <v>118</v>
      </c>
      <c r="AP17">
        <v>-88</v>
      </c>
      <c r="AQ17">
        <v>-103</v>
      </c>
      <c r="AR17">
        <v>896</v>
      </c>
      <c r="AZ17">
        <v>300</v>
      </c>
      <c r="BA17">
        <v>1</v>
      </c>
      <c r="BB17" t="str">
        <f t="shared" si="2"/>
        <v xml:space="preserve">N162AM  </v>
      </c>
      <c r="BC17">
        <v>1</v>
      </c>
      <c r="BE17">
        <v>0</v>
      </c>
      <c r="BF17">
        <v>0</v>
      </c>
      <c r="BG17">
        <v>0</v>
      </c>
      <c r="BH17">
        <v>1275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"14:42:28.665"</f>
        <v>14:42:28.665</v>
      </c>
      <c r="CJ17">
        <v>2</v>
      </c>
      <c r="CK17">
        <v>2</v>
      </c>
      <c r="CL17">
        <v>0</v>
      </c>
      <c r="CM17">
        <v>2</v>
      </c>
      <c r="CN17">
        <v>0</v>
      </c>
      <c r="CO17">
        <v>2</v>
      </c>
      <c r="CP17" t="s">
        <v>119</v>
      </c>
      <c r="CQ17">
        <v>232</v>
      </c>
      <c r="CR17">
        <v>1</v>
      </c>
      <c r="CW17">
        <v>14804398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"12/16/2021 14:42:29.201"</f>
        <v>12/16/2021 14:42:29.201</v>
      </c>
      <c r="C18" t="str">
        <f t="shared" si="1"/>
        <v>FFDFD3C0</v>
      </c>
      <c r="D18" t="s">
        <v>133</v>
      </c>
      <c r="E18">
        <v>44</v>
      </c>
      <c r="H18">
        <v>131</v>
      </c>
      <c r="I18" t="s">
        <v>134</v>
      </c>
      <c r="J18" t="s">
        <v>135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"14:42:28.664"</f>
        <v>14:42:28.664</v>
      </c>
      <c r="T18" t="str">
        <f>"14:42:27.164"</f>
        <v>14:42:27.164</v>
      </c>
      <c r="U18" t="str">
        <f t="shared" si="0"/>
        <v>A0F928</v>
      </c>
      <c r="V18">
        <v>0</v>
      </c>
      <c r="W18">
        <v>0</v>
      </c>
      <c r="X18">
        <v>2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1</v>
      </c>
      <c r="AI18" t="s">
        <v>138</v>
      </c>
      <c r="AJ18">
        <v>35.796354000000001</v>
      </c>
      <c r="AK18" t="s">
        <v>139</v>
      </c>
      <c r="AL18">
        <v>-84.007902000000001</v>
      </c>
      <c r="AM18">
        <v>25</v>
      </c>
      <c r="AN18">
        <v>1050</v>
      </c>
      <c r="AO18" t="s">
        <v>118</v>
      </c>
      <c r="AP18">
        <v>-88</v>
      </c>
      <c r="AQ18">
        <v>-103</v>
      </c>
      <c r="AR18">
        <v>896</v>
      </c>
      <c r="AZ18">
        <v>300</v>
      </c>
      <c r="BA18">
        <v>1</v>
      </c>
      <c r="BB18" t="str">
        <f t="shared" si="2"/>
        <v xml:space="preserve">N162AM  </v>
      </c>
      <c r="BC18">
        <v>1</v>
      </c>
      <c r="BE18">
        <v>0</v>
      </c>
      <c r="BF18">
        <v>0</v>
      </c>
      <c r="BG18">
        <v>0</v>
      </c>
      <c r="BH18">
        <v>1275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"14:42:28.665"</f>
        <v>14:42:28.665</v>
      </c>
      <c r="CJ18">
        <v>2</v>
      </c>
      <c r="CK18">
        <v>2</v>
      </c>
      <c r="CL18">
        <v>0</v>
      </c>
      <c r="CM18">
        <v>2</v>
      </c>
      <c r="CN18">
        <v>0</v>
      </c>
      <c r="CO18">
        <v>2</v>
      </c>
      <c r="CP18" t="s">
        <v>119</v>
      </c>
      <c r="CQ18">
        <v>232</v>
      </c>
      <c r="CR18">
        <v>1</v>
      </c>
      <c r="CW18">
        <v>14804398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"12/16/2021 14:42:29.217"</f>
        <v>12/16/2021 14:42:29.217</v>
      </c>
      <c r="C19" t="str">
        <f t="shared" si="1"/>
        <v>FFDFD3C0</v>
      </c>
      <c r="D19" t="s">
        <v>113</v>
      </c>
      <c r="E19">
        <v>8</v>
      </c>
      <c r="H19">
        <v>176</v>
      </c>
      <c r="I19" t="s">
        <v>114</v>
      </c>
      <c r="J19" t="s">
        <v>115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"14:42:28.664"</f>
        <v>14:42:28.664</v>
      </c>
      <c r="T19" t="str">
        <f>"14:42:27.164"</f>
        <v>14:42:27.164</v>
      </c>
      <c r="U19" t="str">
        <f t="shared" si="0"/>
        <v>A0F928</v>
      </c>
      <c r="V19">
        <v>0</v>
      </c>
      <c r="W19">
        <v>0</v>
      </c>
      <c r="X19">
        <v>2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1</v>
      </c>
      <c r="AI19" t="s">
        <v>138</v>
      </c>
      <c r="AJ19">
        <v>35.796354000000001</v>
      </c>
      <c r="AK19" t="s">
        <v>139</v>
      </c>
      <c r="AL19">
        <v>-84.007902000000001</v>
      </c>
      <c r="AM19">
        <v>25</v>
      </c>
      <c r="AN19">
        <v>1050</v>
      </c>
      <c r="AO19" t="s">
        <v>118</v>
      </c>
      <c r="AP19">
        <v>-88</v>
      </c>
      <c r="AQ19">
        <v>-103</v>
      </c>
      <c r="AR19">
        <v>896</v>
      </c>
      <c r="AZ19">
        <v>300</v>
      </c>
      <c r="BA19">
        <v>1</v>
      </c>
      <c r="BB19" t="str">
        <f t="shared" si="2"/>
        <v xml:space="preserve">N162AM  </v>
      </c>
      <c r="BC19">
        <v>1</v>
      </c>
      <c r="BE19">
        <v>0</v>
      </c>
      <c r="BF19">
        <v>0</v>
      </c>
      <c r="BG19">
        <v>0</v>
      </c>
      <c r="BH19">
        <v>1275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"14:42:28.665"</f>
        <v>14:42:28.665</v>
      </c>
      <c r="CJ19">
        <v>2</v>
      </c>
      <c r="CK19">
        <v>2</v>
      </c>
      <c r="CL19">
        <v>0</v>
      </c>
      <c r="CM19">
        <v>2</v>
      </c>
      <c r="CN19">
        <v>0</v>
      </c>
      <c r="CO19">
        <v>2</v>
      </c>
      <c r="CP19" t="s">
        <v>119</v>
      </c>
      <c r="CQ19">
        <v>232</v>
      </c>
      <c r="CR19">
        <v>1</v>
      </c>
      <c r="CW19">
        <v>14804398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1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"12/16/2021 14:42:30.005"</f>
        <v>12/16/2021 14:42:30.005</v>
      </c>
      <c r="C20" t="str">
        <f t="shared" si="1"/>
        <v>FFDFD3C0</v>
      </c>
      <c r="D20" t="s">
        <v>133</v>
      </c>
      <c r="E20">
        <v>44</v>
      </c>
      <c r="H20">
        <v>131</v>
      </c>
      <c r="I20" t="s">
        <v>134</v>
      </c>
      <c r="J20" t="s">
        <v>135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"14:42:29.773"</f>
        <v>14:42:29.773</v>
      </c>
      <c r="T20" t="str">
        <f>"14:42:28.673"</f>
        <v>14:42:28.673</v>
      </c>
      <c r="U20" t="str">
        <f t="shared" si="0"/>
        <v>A0F928</v>
      </c>
      <c r="V20">
        <v>0</v>
      </c>
      <c r="W20">
        <v>0</v>
      </c>
      <c r="X20">
        <v>2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1</v>
      </c>
      <c r="AI20" t="s">
        <v>140</v>
      </c>
      <c r="AJ20">
        <v>35.795796000000003</v>
      </c>
      <c r="AK20" t="s">
        <v>141</v>
      </c>
      <c r="AL20">
        <v>-84.008503000000005</v>
      </c>
      <c r="AM20">
        <v>25</v>
      </c>
      <c r="AN20">
        <v>1075</v>
      </c>
      <c r="AO20" t="s">
        <v>118</v>
      </c>
      <c r="AP20">
        <v>-89</v>
      </c>
      <c r="AQ20">
        <v>-104</v>
      </c>
      <c r="AR20">
        <v>1024</v>
      </c>
      <c r="AZ20">
        <v>300</v>
      </c>
      <c r="BA20">
        <v>1</v>
      </c>
      <c r="BB20" t="str">
        <f t="shared" si="2"/>
        <v xml:space="preserve">N162AM  </v>
      </c>
      <c r="BC20">
        <v>1</v>
      </c>
      <c r="BE20">
        <v>0</v>
      </c>
      <c r="BF20">
        <v>0</v>
      </c>
      <c r="BG20">
        <v>0</v>
      </c>
      <c r="BH20">
        <v>1325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"14:42:29.779"</f>
        <v>14:42:29.779</v>
      </c>
      <c r="CJ20">
        <v>2</v>
      </c>
      <c r="CK20">
        <v>2</v>
      </c>
      <c r="CL20">
        <v>0</v>
      </c>
      <c r="CM20">
        <v>2</v>
      </c>
      <c r="CN20">
        <v>0</v>
      </c>
      <c r="CO20">
        <v>3</v>
      </c>
      <c r="CP20" t="s">
        <v>119</v>
      </c>
      <c r="CQ20">
        <v>232</v>
      </c>
      <c r="CR20">
        <v>2</v>
      </c>
      <c r="CW20">
        <v>6007766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"12/16/2021 14:42:30.036"</f>
        <v>12/16/2021 14:42:30.036</v>
      </c>
      <c r="C21" t="str">
        <f t="shared" si="1"/>
        <v>FFDFD3C0</v>
      </c>
      <c r="D21" t="s">
        <v>113</v>
      </c>
      <c r="E21">
        <v>8</v>
      </c>
      <c r="H21">
        <v>176</v>
      </c>
      <c r="I21" t="s">
        <v>114</v>
      </c>
      <c r="J21" t="s">
        <v>115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"14:42:29.773"</f>
        <v>14:42:29.773</v>
      </c>
      <c r="T21" t="str">
        <f>"14:42:28.673"</f>
        <v>14:42:28.673</v>
      </c>
      <c r="U21" t="str">
        <f t="shared" si="0"/>
        <v>A0F928</v>
      </c>
      <c r="V21">
        <v>0</v>
      </c>
      <c r="W21">
        <v>0</v>
      </c>
      <c r="X21">
        <v>2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1</v>
      </c>
      <c r="AI21" t="s">
        <v>140</v>
      </c>
      <c r="AJ21">
        <v>35.795796000000003</v>
      </c>
      <c r="AK21" t="s">
        <v>141</v>
      </c>
      <c r="AL21">
        <v>-84.008503000000005</v>
      </c>
      <c r="AM21">
        <v>25</v>
      </c>
      <c r="AN21">
        <v>1075</v>
      </c>
      <c r="AO21" t="s">
        <v>118</v>
      </c>
      <c r="AP21">
        <v>-89</v>
      </c>
      <c r="AQ21">
        <v>-104</v>
      </c>
      <c r="AR21">
        <v>1024</v>
      </c>
      <c r="AZ21">
        <v>300</v>
      </c>
      <c r="BA21">
        <v>1</v>
      </c>
      <c r="BB21" t="str">
        <f t="shared" si="2"/>
        <v xml:space="preserve">N162AM  </v>
      </c>
      <c r="BC21">
        <v>1</v>
      </c>
      <c r="BE21">
        <v>0</v>
      </c>
      <c r="BF21">
        <v>0</v>
      </c>
      <c r="BG21">
        <v>0</v>
      </c>
      <c r="BH21">
        <v>1325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"14:42:29.779"</f>
        <v>14:42:29.779</v>
      </c>
      <c r="CJ21">
        <v>2</v>
      </c>
      <c r="CK21">
        <v>2</v>
      </c>
      <c r="CL21">
        <v>0</v>
      </c>
      <c r="CM21">
        <v>2</v>
      </c>
      <c r="CN21">
        <v>0</v>
      </c>
      <c r="CO21">
        <v>3</v>
      </c>
      <c r="CP21" t="s">
        <v>119</v>
      </c>
      <c r="CQ21">
        <v>232</v>
      </c>
      <c r="CR21">
        <v>2</v>
      </c>
      <c r="CW21">
        <v>6007766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1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"12/16/2021 14:42:30.036"</f>
        <v>12/16/2021 14:42:30.036</v>
      </c>
      <c r="C22" t="str">
        <f t="shared" si="1"/>
        <v>FFDFD3C0</v>
      </c>
      <c r="D22" t="s">
        <v>124</v>
      </c>
      <c r="E22">
        <v>10</v>
      </c>
      <c r="F22">
        <v>1010</v>
      </c>
      <c r="G22" t="s">
        <v>130</v>
      </c>
      <c r="J22" t="s">
        <v>125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"14:42:29.773"</f>
        <v>14:42:29.773</v>
      </c>
      <c r="T22" t="str">
        <f>"14:42:28.673"</f>
        <v>14:42:28.673</v>
      </c>
      <c r="U22" t="str">
        <f t="shared" si="0"/>
        <v>A0F928</v>
      </c>
      <c r="V22">
        <v>0</v>
      </c>
      <c r="W22">
        <v>0</v>
      </c>
      <c r="X22">
        <v>2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1</v>
      </c>
      <c r="AI22" t="s">
        <v>140</v>
      </c>
      <c r="AJ22">
        <v>35.795796000000003</v>
      </c>
      <c r="AK22" t="s">
        <v>141</v>
      </c>
      <c r="AL22">
        <v>-84.008503000000005</v>
      </c>
      <c r="AM22">
        <v>25</v>
      </c>
      <c r="AN22">
        <v>1075</v>
      </c>
      <c r="AO22" t="s">
        <v>118</v>
      </c>
      <c r="AP22">
        <v>-89</v>
      </c>
      <c r="AQ22">
        <v>-104</v>
      </c>
      <c r="AR22">
        <v>1024</v>
      </c>
      <c r="AZ22">
        <v>300</v>
      </c>
      <c r="BA22">
        <v>1</v>
      </c>
      <c r="BB22" t="str">
        <f t="shared" si="2"/>
        <v xml:space="preserve">N162AM  </v>
      </c>
      <c r="BC22">
        <v>1</v>
      </c>
      <c r="BE22">
        <v>0</v>
      </c>
      <c r="BF22">
        <v>0</v>
      </c>
      <c r="BG22">
        <v>0</v>
      </c>
      <c r="BH22">
        <v>1325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"14:42:29.779"</f>
        <v>14:42:29.779</v>
      </c>
      <c r="CJ22">
        <v>2</v>
      </c>
      <c r="CK22">
        <v>2</v>
      </c>
      <c r="CL22">
        <v>0</v>
      </c>
      <c r="CM22">
        <v>2</v>
      </c>
      <c r="CN22">
        <v>0</v>
      </c>
      <c r="CO22">
        <v>3</v>
      </c>
      <c r="CP22" t="s">
        <v>119</v>
      </c>
      <c r="CQ22">
        <v>232</v>
      </c>
      <c r="CR22">
        <v>2</v>
      </c>
      <c r="CW22">
        <v>6007766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"12/16/2021 14:42:30.036"</f>
        <v>12/16/2021 14:42:30.036</v>
      </c>
      <c r="C23" t="str">
        <f t="shared" si="1"/>
        <v>FFDFD3C0</v>
      </c>
      <c r="D23" t="s">
        <v>124</v>
      </c>
      <c r="E23">
        <v>5</v>
      </c>
      <c r="F23">
        <v>1005</v>
      </c>
      <c r="G23" t="s">
        <v>114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"14:42:29.773"</f>
        <v>14:42:29.773</v>
      </c>
      <c r="T23" t="str">
        <f>"14:42:28.673"</f>
        <v>14:42:28.673</v>
      </c>
      <c r="U23" t="str">
        <f t="shared" si="0"/>
        <v>A0F928</v>
      </c>
      <c r="V23">
        <v>0</v>
      </c>
      <c r="W23">
        <v>0</v>
      </c>
      <c r="X23">
        <v>2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1</v>
      </c>
      <c r="AI23" t="s">
        <v>140</v>
      </c>
      <c r="AJ23">
        <v>35.795796000000003</v>
      </c>
      <c r="AK23" t="s">
        <v>141</v>
      </c>
      <c r="AL23">
        <v>-84.008503000000005</v>
      </c>
      <c r="AM23">
        <v>25</v>
      </c>
      <c r="AN23">
        <v>1075</v>
      </c>
      <c r="AO23" t="s">
        <v>118</v>
      </c>
      <c r="AP23">
        <v>-89</v>
      </c>
      <c r="AQ23">
        <v>-104</v>
      </c>
      <c r="AR23">
        <v>1024</v>
      </c>
      <c r="AZ23">
        <v>300</v>
      </c>
      <c r="BA23">
        <v>1</v>
      </c>
      <c r="BB23" t="str">
        <f t="shared" si="2"/>
        <v xml:space="preserve">N162AM  </v>
      </c>
      <c r="BC23">
        <v>1</v>
      </c>
      <c r="BE23">
        <v>0</v>
      </c>
      <c r="BF23">
        <v>0</v>
      </c>
      <c r="BG23">
        <v>0</v>
      </c>
      <c r="BH23">
        <v>1325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"14:42:29.779"</f>
        <v>14:42:29.779</v>
      </c>
      <c r="CJ23">
        <v>2</v>
      </c>
      <c r="CK23">
        <v>2</v>
      </c>
      <c r="CL23">
        <v>0</v>
      </c>
      <c r="CM23">
        <v>2</v>
      </c>
      <c r="CN23">
        <v>0</v>
      </c>
      <c r="CO23">
        <v>3</v>
      </c>
      <c r="CP23" t="s">
        <v>119</v>
      </c>
      <c r="CQ23">
        <v>232</v>
      </c>
      <c r="CR23">
        <v>2</v>
      </c>
      <c r="CW23">
        <v>6007766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"12/16/2021 14:42:31.114"</f>
        <v>12/16/2021 14:42:31.114</v>
      </c>
      <c r="C24" t="str">
        <f t="shared" si="1"/>
        <v>FFDFD3C0</v>
      </c>
      <c r="D24" t="s">
        <v>124</v>
      </c>
      <c r="E24">
        <v>5</v>
      </c>
      <c r="F24">
        <v>1005</v>
      </c>
      <c r="G24" t="s">
        <v>114</v>
      </c>
      <c r="J24" t="s">
        <v>125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"14:42:30.891"</f>
        <v>14:42:30.891</v>
      </c>
      <c r="T24" t="str">
        <f>"14:42:30.391"</f>
        <v>14:42:30.391</v>
      </c>
      <c r="U24" t="str">
        <f t="shared" si="0"/>
        <v>A0F928</v>
      </c>
      <c r="V24">
        <v>0</v>
      </c>
      <c r="W24">
        <v>0</v>
      </c>
      <c r="X24">
        <v>2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1</v>
      </c>
      <c r="AI24" t="s">
        <v>142</v>
      </c>
      <c r="AJ24">
        <v>35.795281000000003</v>
      </c>
      <c r="AK24" t="s">
        <v>143</v>
      </c>
      <c r="AL24">
        <v>-84.008995999999996</v>
      </c>
      <c r="AM24">
        <v>25</v>
      </c>
      <c r="AN24">
        <v>1100</v>
      </c>
      <c r="AO24" t="s">
        <v>118</v>
      </c>
      <c r="AP24">
        <v>-89</v>
      </c>
      <c r="AQ24">
        <v>-103</v>
      </c>
      <c r="AR24">
        <v>1088</v>
      </c>
      <c r="AZ24">
        <v>300</v>
      </c>
      <c r="BA24">
        <v>1</v>
      </c>
      <c r="BB24" t="str">
        <f t="shared" si="2"/>
        <v xml:space="preserve">N162AM  </v>
      </c>
      <c r="BC24">
        <v>1</v>
      </c>
      <c r="BE24">
        <v>0</v>
      </c>
      <c r="BF24">
        <v>0</v>
      </c>
      <c r="BG24">
        <v>0</v>
      </c>
      <c r="BH24">
        <v>1350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"14:42:30.897"</f>
        <v>14:42:30.897</v>
      </c>
      <c r="CJ24">
        <v>2</v>
      </c>
      <c r="CK24">
        <v>2</v>
      </c>
      <c r="CL24">
        <v>0</v>
      </c>
      <c r="CM24">
        <v>2</v>
      </c>
      <c r="CN24">
        <v>0</v>
      </c>
      <c r="CO24">
        <v>3</v>
      </c>
      <c r="CP24" t="s">
        <v>119</v>
      </c>
      <c r="CQ24">
        <v>232</v>
      </c>
      <c r="CR24">
        <v>1</v>
      </c>
      <c r="CW24">
        <v>14807747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"12/16/2021 14:42:31.145"</f>
        <v>12/16/2021 14:42:31.145</v>
      </c>
      <c r="C25" t="str">
        <f t="shared" si="1"/>
        <v>FFDFD3C0</v>
      </c>
      <c r="D25" t="s">
        <v>133</v>
      </c>
      <c r="E25">
        <v>44</v>
      </c>
      <c r="H25">
        <v>131</v>
      </c>
      <c r="I25" t="s">
        <v>134</v>
      </c>
      <c r="J25" t="s">
        <v>135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"14:42:30.891"</f>
        <v>14:42:30.891</v>
      </c>
      <c r="T25" t="str">
        <f>"14:42:30.391"</f>
        <v>14:42:30.391</v>
      </c>
      <c r="U25" t="str">
        <f t="shared" si="0"/>
        <v>A0F928</v>
      </c>
      <c r="V25">
        <v>0</v>
      </c>
      <c r="W25">
        <v>0</v>
      </c>
      <c r="X25">
        <v>2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1</v>
      </c>
      <c r="AI25" t="s">
        <v>142</v>
      </c>
      <c r="AJ25">
        <v>35.795281000000003</v>
      </c>
      <c r="AK25" t="s">
        <v>143</v>
      </c>
      <c r="AL25">
        <v>-84.008995999999996</v>
      </c>
      <c r="AM25">
        <v>25</v>
      </c>
      <c r="AN25">
        <v>1100</v>
      </c>
      <c r="AO25" t="s">
        <v>118</v>
      </c>
      <c r="AP25">
        <v>-89</v>
      </c>
      <c r="AQ25">
        <v>-103</v>
      </c>
      <c r="AR25">
        <v>1088</v>
      </c>
      <c r="AZ25">
        <v>300</v>
      </c>
      <c r="BA25">
        <v>1</v>
      </c>
      <c r="BB25" t="str">
        <f t="shared" si="2"/>
        <v xml:space="preserve">N162AM  </v>
      </c>
      <c r="BC25">
        <v>1</v>
      </c>
      <c r="BE25">
        <v>0</v>
      </c>
      <c r="BF25">
        <v>0</v>
      </c>
      <c r="BG25">
        <v>0</v>
      </c>
      <c r="BH25">
        <v>1350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"14:42:30.897"</f>
        <v>14:42:30.897</v>
      </c>
      <c r="CJ25">
        <v>2</v>
      </c>
      <c r="CK25">
        <v>2</v>
      </c>
      <c r="CL25">
        <v>0</v>
      </c>
      <c r="CM25">
        <v>2</v>
      </c>
      <c r="CN25">
        <v>0</v>
      </c>
      <c r="CO25">
        <v>3</v>
      </c>
      <c r="CP25" t="s">
        <v>119</v>
      </c>
      <c r="CQ25">
        <v>232</v>
      </c>
      <c r="CR25">
        <v>1</v>
      </c>
      <c r="CW25">
        <v>14807747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"12/16/2021 14:42:31.145"</f>
        <v>12/16/2021 14:42:31.145</v>
      </c>
      <c r="C26" t="str">
        <f t="shared" si="1"/>
        <v>FFDFD3C0</v>
      </c>
      <c r="D26" t="s">
        <v>113</v>
      </c>
      <c r="E26">
        <v>8</v>
      </c>
      <c r="H26">
        <v>176</v>
      </c>
      <c r="I26" t="s">
        <v>114</v>
      </c>
      <c r="J26" t="s">
        <v>115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"14:42:30.891"</f>
        <v>14:42:30.891</v>
      </c>
      <c r="T26" t="str">
        <f>"14:42:30.391"</f>
        <v>14:42:30.391</v>
      </c>
      <c r="U26" t="str">
        <f t="shared" si="0"/>
        <v>A0F928</v>
      </c>
      <c r="V26">
        <v>0</v>
      </c>
      <c r="W26">
        <v>0</v>
      </c>
      <c r="X26">
        <v>2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1</v>
      </c>
      <c r="AI26" t="s">
        <v>142</v>
      </c>
      <c r="AJ26">
        <v>35.795281000000003</v>
      </c>
      <c r="AK26" t="s">
        <v>143</v>
      </c>
      <c r="AL26">
        <v>-84.008995999999996</v>
      </c>
      <c r="AM26">
        <v>25</v>
      </c>
      <c r="AN26">
        <v>1100</v>
      </c>
      <c r="AO26" t="s">
        <v>118</v>
      </c>
      <c r="AP26">
        <v>-89</v>
      </c>
      <c r="AQ26">
        <v>-103</v>
      </c>
      <c r="AR26">
        <v>1088</v>
      </c>
      <c r="AZ26">
        <v>300</v>
      </c>
      <c r="BA26">
        <v>1</v>
      </c>
      <c r="BB26" t="str">
        <f t="shared" si="2"/>
        <v xml:space="preserve">N162AM  </v>
      </c>
      <c r="BC26">
        <v>1</v>
      </c>
      <c r="BE26">
        <v>0</v>
      </c>
      <c r="BF26">
        <v>0</v>
      </c>
      <c r="BG26">
        <v>0</v>
      </c>
      <c r="BH26">
        <v>1350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"14:42:30.897"</f>
        <v>14:42:30.897</v>
      </c>
      <c r="CJ26">
        <v>2</v>
      </c>
      <c r="CK26">
        <v>2</v>
      </c>
      <c r="CL26">
        <v>0</v>
      </c>
      <c r="CM26">
        <v>2</v>
      </c>
      <c r="CN26">
        <v>0</v>
      </c>
      <c r="CO26">
        <v>3</v>
      </c>
      <c r="CP26" t="s">
        <v>119</v>
      </c>
      <c r="CQ26">
        <v>232</v>
      </c>
      <c r="CR26">
        <v>1</v>
      </c>
      <c r="CW26">
        <v>14807747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"12/16/2021 14:42:31.177"</f>
        <v>12/16/2021 14:42:31.177</v>
      </c>
      <c r="C27" t="str">
        <f t="shared" si="1"/>
        <v>FFDFD3C0</v>
      </c>
      <c r="D27" t="s">
        <v>124</v>
      </c>
      <c r="E27">
        <v>10</v>
      </c>
      <c r="F27">
        <v>1010</v>
      </c>
      <c r="G27" t="s">
        <v>130</v>
      </c>
      <c r="J27" t="s">
        <v>125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"14:42:30.891"</f>
        <v>14:42:30.891</v>
      </c>
      <c r="T27" t="str">
        <f>"14:42:30.391"</f>
        <v>14:42:30.391</v>
      </c>
      <c r="U27" t="str">
        <f t="shared" si="0"/>
        <v>A0F928</v>
      </c>
      <c r="V27">
        <v>0</v>
      </c>
      <c r="W27">
        <v>0</v>
      </c>
      <c r="X27">
        <v>2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1</v>
      </c>
      <c r="AI27" t="s">
        <v>142</v>
      </c>
      <c r="AJ27">
        <v>35.795281000000003</v>
      </c>
      <c r="AK27" t="s">
        <v>143</v>
      </c>
      <c r="AL27">
        <v>-84.008995999999996</v>
      </c>
      <c r="AM27">
        <v>25</v>
      </c>
      <c r="AN27">
        <v>1100</v>
      </c>
      <c r="AO27" t="s">
        <v>118</v>
      </c>
      <c r="AP27">
        <v>-89</v>
      </c>
      <c r="AQ27">
        <v>-103</v>
      </c>
      <c r="AR27">
        <v>1088</v>
      </c>
      <c r="AZ27">
        <v>300</v>
      </c>
      <c r="BA27">
        <v>1</v>
      </c>
      <c r="BB27" t="str">
        <f t="shared" si="2"/>
        <v xml:space="preserve">N162AM  </v>
      </c>
      <c r="BC27">
        <v>1</v>
      </c>
      <c r="BE27">
        <v>0</v>
      </c>
      <c r="BF27">
        <v>0</v>
      </c>
      <c r="BG27">
        <v>0</v>
      </c>
      <c r="BH27">
        <v>1350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"14:42:30.897"</f>
        <v>14:42:30.897</v>
      </c>
      <c r="CJ27">
        <v>2</v>
      </c>
      <c r="CK27">
        <v>2</v>
      </c>
      <c r="CL27">
        <v>0</v>
      </c>
      <c r="CM27">
        <v>2</v>
      </c>
      <c r="CN27">
        <v>0</v>
      </c>
      <c r="CO27">
        <v>3</v>
      </c>
      <c r="CP27" t="s">
        <v>119</v>
      </c>
      <c r="CQ27">
        <v>232</v>
      </c>
      <c r="CR27">
        <v>1</v>
      </c>
      <c r="CW27">
        <v>14807747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"12/16/2021 14:42:32.302"</f>
        <v>12/16/2021 14:42:32.302</v>
      </c>
      <c r="C28" t="str">
        <f t="shared" si="1"/>
        <v>FFDFD3C0</v>
      </c>
      <c r="D28" t="s">
        <v>133</v>
      </c>
      <c r="E28">
        <v>44</v>
      </c>
      <c r="H28">
        <v>131</v>
      </c>
      <c r="I28" t="s">
        <v>134</v>
      </c>
      <c r="J28" t="s">
        <v>135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"14:42:32.055"</f>
        <v>14:42:32.055</v>
      </c>
      <c r="T28" t="str">
        <f>"14:42:31.555"</f>
        <v>14:42:31.555</v>
      </c>
      <c r="U28" t="str">
        <f t="shared" si="0"/>
        <v>A0F928</v>
      </c>
      <c r="V28">
        <v>0</v>
      </c>
      <c r="W28">
        <v>0</v>
      </c>
      <c r="X28">
        <v>2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1</v>
      </c>
      <c r="AI28" t="s">
        <v>144</v>
      </c>
      <c r="AJ28">
        <v>35.794722999999998</v>
      </c>
      <c r="AK28" t="s">
        <v>145</v>
      </c>
      <c r="AL28">
        <v>-84.009640000000005</v>
      </c>
      <c r="AM28">
        <v>25</v>
      </c>
      <c r="AN28">
        <v>1125</v>
      </c>
      <c r="AO28" t="s">
        <v>118</v>
      </c>
      <c r="AP28">
        <v>-89</v>
      </c>
      <c r="AQ28">
        <v>-103</v>
      </c>
      <c r="AR28">
        <v>1152</v>
      </c>
      <c r="AZ28">
        <v>300</v>
      </c>
      <c r="BA28">
        <v>1</v>
      </c>
      <c r="BB28" t="str">
        <f t="shared" si="2"/>
        <v xml:space="preserve">N162AM  </v>
      </c>
      <c r="BC28">
        <v>1</v>
      </c>
      <c r="BE28">
        <v>0</v>
      </c>
      <c r="BF28">
        <v>0</v>
      </c>
      <c r="BG28">
        <v>0</v>
      </c>
      <c r="BH28">
        <v>1375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"14:42:32.062"</f>
        <v>14:42:32.062</v>
      </c>
      <c r="CJ28">
        <v>2</v>
      </c>
      <c r="CK28">
        <v>2</v>
      </c>
      <c r="CL28">
        <v>0</v>
      </c>
      <c r="CM28">
        <v>2</v>
      </c>
      <c r="CN28">
        <v>0</v>
      </c>
      <c r="CO28">
        <v>4</v>
      </c>
      <c r="CP28" t="s">
        <v>119</v>
      </c>
      <c r="CQ28">
        <v>232</v>
      </c>
      <c r="CR28">
        <v>1</v>
      </c>
      <c r="CW28">
        <v>14809509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"12/16/2021 14:42:32.302"</f>
        <v>12/16/2021 14:42:32.302</v>
      </c>
      <c r="C29" t="str">
        <f t="shared" si="1"/>
        <v>FFDFD3C0</v>
      </c>
      <c r="D29" t="s">
        <v>113</v>
      </c>
      <c r="E29">
        <v>8</v>
      </c>
      <c r="H29">
        <v>176</v>
      </c>
      <c r="I29" t="s">
        <v>114</v>
      </c>
      <c r="J29" t="s">
        <v>115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"14:42:32.055"</f>
        <v>14:42:32.055</v>
      </c>
      <c r="T29" t="str">
        <f>"14:42:31.555"</f>
        <v>14:42:31.555</v>
      </c>
      <c r="U29" t="str">
        <f t="shared" si="0"/>
        <v>A0F928</v>
      </c>
      <c r="V29">
        <v>0</v>
      </c>
      <c r="W29">
        <v>0</v>
      </c>
      <c r="X29">
        <v>2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1</v>
      </c>
      <c r="AI29" t="s">
        <v>144</v>
      </c>
      <c r="AJ29">
        <v>35.794722999999998</v>
      </c>
      <c r="AK29" t="s">
        <v>145</v>
      </c>
      <c r="AL29">
        <v>-84.009640000000005</v>
      </c>
      <c r="AM29">
        <v>25</v>
      </c>
      <c r="AN29">
        <v>1125</v>
      </c>
      <c r="AO29" t="s">
        <v>118</v>
      </c>
      <c r="AP29">
        <v>-89</v>
      </c>
      <c r="AQ29">
        <v>-103</v>
      </c>
      <c r="AR29">
        <v>1152</v>
      </c>
      <c r="AZ29">
        <v>300</v>
      </c>
      <c r="BA29">
        <v>1</v>
      </c>
      <c r="BB29" t="str">
        <f t="shared" si="2"/>
        <v xml:space="preserve">N162AM  </v>
      </c>
      <c r="BC29">
        <v>1</v>
      </c>
      <c r="BE29">
        <v>0</v>
      </c>
      <c r="BF29">
        <v>0</v>
      </c>
      <c r="BG29">
        <v>0</v>
      </c>
      <c r="BH29">
        <v>1375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"14:42:32.062"</f>
        <v>14:42:32.062</v>
      </c>
      <c r="CJ29">
        <v>2</v>
      </c>
      <c r="CK29">
        <v>2</v>
      </c>
      <c r="CL29">
        <v>0</v>
      </c>
      <c r="CM29">
        <v>2</v>
      </c>
      <c r="CN29">
        <v>0</v>
      </c>
      <c r="CO29">
        <v>4</v>
      </c>
      <c r="CP29" t="s">
        <v>119</v>
      </c>
      <c r="CQ29">
        <v>232</v>
      </c>
      <c r="CR29">
        <v>1</v>
      </c>
      <c r="CW29">
        <v>14809509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"12/16/2021 14:42:32.317"</f>
        <v>12/16/2021 14:42:32.317</v>
      </c>
      <c r="C30" t="str">
        <f t="shared" si="1"/>
        <v>FFDFD3C0</v>
      </c>
      <c r="D30" t="s">
        <v>124</v>
      </c>
      <c r="E30">
        <v>5</v>
      </c>
      <c r="F30">
        <v>1005</v>
      </c>
      <c r="G30" t="s">
        <v>114</v>
      </c>
      <c r="J30" t="s">
        <v>125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"14:42:32.055"</f>
        <v>14:42:32.055</v>
      </c>
      <c r="T30" t="str">
        <f>"14:42:31.555"</f>
        <v>14:42:31.555</v>
      </c>
      <c r="U30" t="str">
        <f t="shared" si="0"/>
        <v>A0F928</v>
      </c>
      <c r="V30">
        <v>0</v>
      </c>
      <c r="W30">
        <v>0</v>
      </c>
      <c r="X30">
        <v>2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1</v>
      </c>
      <c r="AI30" t="s">
        <v>144</v>
      </c>
      <c r="AJ30">
        <v>35.794722999999998</v>
      </c>
      <c r="AK30" t="s">
        <v>145</v>
      </c>
      <c r="AL30">
        <v>-84.009640000000005</v>
      </c>
      <c r="AM30">
        <v>25</v>
      </c>
      <c r="AN30">
        <v>1125</v>
      </c>
      <c r="AO30" t="s">
        <v>118</v>
      </c>
      <c r="AP30">
        <v>-89</v>
      </c>
      <c r="AQ30">
        <v>-103</v>
      </c>
      <c r="AR30">
        <v>1152</v>
      </c>
      <c r="AZ30">
        <v>300</v>
      </c>
      <c r="BA30">
        <v>1</v>
      </c>
      <c r="BB30" t="str">
        <f t="shared" si="2"/>
        <v xml:space="preserve">N162AM  </v>
      </c>
      <c r="BC30">
        <v>1</v>
      </c>
      <c r="BE30">
        <v>0</v>
      </c>
      <c r="BF30">
        <v>0</v>
      </c>
      <c r="BG30">
        <v>0</v>
      </c>
      <c r="BH30">
        <v>1375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"14:42:32.062"</f>
        <v>14:42:32.062</v>
      </c>
      <c r="CJ30">
        <v>2</v>
      </c>
      <c r="CK30">
        <v>2</v>
      </c>
      <c r="CL30">
        <v>0</v>
      </c>
      <c r="CM30">
        <v>2</v>
      </c>
      <c r="CN30">
        <v>0</v>
      </c>
      <c r="CO30">
        <v>4</v>
      </c>
      <c r="CP30" t="s">
        <v>119</v>
      </c>
      <c r="CQ30">
        <v>232</v>
      </c>
      <c r="CR30">
        <v>1</v>
      </c>
      <c r="CW30">
        <v>14809509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"12/16/2021 14:42:32.317"</f>
        <v>12/16/2021 14:42:32.317</v>
      </c>
      <c r="C31" t="str">
        <f t="shared" si="1"/>
        <v>FFDFD3C0</v>
      </c>
      <c r="D31" t="s">
        <v>124</v>
      </c>
      <c r="E31">
        <v>10</v>
      </c>
      <c r="F31">
        <v>1010</v>
      </c>
      <c r="G31" t="s">
        <v>130</v>
      </c>
      <c r="J31" t="s">
        <v>125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"14:42:32.055"</f>
        <v>14:42:32.055</v>
      </c>
      <c r="T31" t="str">
        <f>"14:42:31.555"</f>
        <v>14:42:31.555</v>
      </c>
      <c r="U31" t="str">
        <f t="shared" si="0"/>
        <v>A0F928</v>
      </c>
      <c r="V31">
        <v>0</v>
      </c>
      <c r="W31">
        <v>0</v>
      </c>
      <c r="X31">
        <v>2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1</v>
      </c>
      <c r="AI31" t="s">
        <v>144</v>
      </c>
      <c r="AJ31">
        <v>35.794722999999998</v>
      </c>
      <c r="AK31" t="s">
        <v>145</v>
      </c>
      <c r="AL31">
        <v>-84.009640000000005</v>
      </c>
      <c r="AM31">
        <v>25</v>
      </c>
      <c r="AN31">
        <v>1125</v>
      </c>
      <c r="AO31" t="s">
        <v>118</v>
      </c>
      <c r="AP31">
        <v>-89</v>
      </c>
      <c r="AQ31">
        <v>-103</v>
      </c>
      <c r="AR31">
        <v>1152</v>
      </c>
      <c r="AZ31">
        <v>300</v>
      </c>
      <c r="BA31">
        <v>1</v>
      </c>
      <c r="BB31" t="str">
        <f t="shared" si="2"/>
        <v xml:space="preserve">N162AM  </v>
      </c>
      <c r="BC31">
        <v>1</v>
      </c>
      <c r="BE31">
        <v>0</v>
      </c>
      <c r="BF31">
        <v>0</v>
      </c>
      <c r="BG31">
        <v>0</v>
      </c>
      <c r="BH31">
        <v>1375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"14:42:32.062"</f>
        <v>14:42:32.062</v>
      </c>
      <c r="CJ31">
        <v>2</v>
      </c>
      <c r="CK31">
        <v>2</v>
      </c>
      <c r="CL31">
        <v>0</v>
      </c>
      <c r="CM31">
        <v>2</v>
      </c>
      <c r="CN31">
        <v>0</v>
      </c>
      <c r="CO31">
        <v>4</v>
      </c>
      <c r="CP31" t="s">
        <v>119</v>
      </c>
      <c r="CQ31">
        <v>232</v>
      </c>
      <c r="CR31">
        <v>1</v>
      </c>
      <c r="CW31">
        <v>14809509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1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"12/16/2021 14:42:34.350"</f>
        <v>12/16/2021 14:42:34.350</v>
      </c>
      <c r="C32" t="str">
        <f t="shared" si="1"/>
        <v>FFDFD3C0</v>
      </c>
      <c r="D32" t="s">
        <v>113</v>
      </c>
      <c r="E32">
        <v>8</v>
      </c>
      <c r="H32">
        <v>176</v>
      </c>
      <c r="I32" t="s">
        <v>114</v>
      </c>
      <c r="J32" t="s">
        <v>115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"14:42:34.086"</f>
        <v>14:42:34.086</v>
      </c>
      <c r="T32" t="str">
        <f>"14:42:33.586"</f>
        <v>14:42:33.586</v>
      </c>
      <c r="U32" t="str">
        <f t="shared" si="0"/>
        <v>A0F928</v>
      </c>
      <c r="V32">
        <v>0</v>
      </c>
      <c r="W32">
        <v>0</v>
      </c>
      <c r="X32">
        <v>2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1</v>
      </c>
      <c r="AI32" t="s">
        <v>146</v>
      </c>
      <c r="AJ32">
        <v>35.793736000000003</v>
      </c>
      <c r="AK32" t="s">
        <v>147</v>
      </c>
      <c r="AL32">
        <v>-84.010583999999994</v>
      </c>
      <c r="AM32">
        <v>25</v>
      </c>
      <c r="AN32">
        <v>1150</v>
      </c>
      <c r="AO32" t="s">
        <v>118</v>
      </c>
      <c r="AP32">
        <v>-86</v>
      </c>
      <c r="AQ32">
        <v>-106</v>
      </c>
      <c r="AR32">
        <v>960</v>
      </c>
      <c r="AZ32">
        <v>300</v>
      </c>
      <c r="BA32">
        <v>1</v>
      </c>
      <c r="BB32" t="str">
        <f t="shared" si="2"/>
        <v xml:space="preserve">N162AM  </v>
      </c>
      <c r="BC32">
        <v>1</v>
      </c>
      <c r="BE32">
        <v>0</v>
      </c>
      <c r="BF32">
        <v>0</v>
      </c>
      <c r="BG32">
        <v>0</v>
      </c>
      <c r="BH32">
        <v>1400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"14:42:34.087"</f>
        <v>14:42:34.087</v>
      </c>
      <c r="CJ32">
        <v>2</v>
      </c>
      <c r="CK32">
        <v>2</v>
      </c>
      <c r="CL32">
        <v>0</v>
      </c>
      <c r="CM32">
        <v>2</v>
      </c>
      <c r="CN32">
        <v>0</v>
      </c>
      <c r="CO32">
        <v>3</v>
      </c>
      <c r="CP32" t="s">
        <v>119</v>
      </c>
      <c r="CQ32">
        <v>232</v>
      </c>
      <c r="CR32">
        <v>1</v>
      </c>
      <c r="CW32">
        <v>14812616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"12/16/2021 14:42:34.350"</f>
        <v>12/16/2021 14:42:34.350</v>
      </c>
      <c r="C33" t="str">
        <f t="shared" si="1"/>
        <v>FFDFD3C0</v>
      </c>
      <c r="D33" t="s">
        <v>133</v>
      </c>
      <c r="E33">
        <v>44</v>
      </c>
      <c r="H33">
        <v>131</v>
      </c>
      <c r="I33" t="s">
        <v>134</v>
      </c>
      <c r="J33" t="s">
        <v>135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"14:42:34.086"</f>
        <v>14:42:34.086</v>
      </c>
      <c r="T33" t="str">
        <f>"14:42:33.586"</f>
        <v>14:42:33.586</v>
      </c>
      <c r="U33" t="str">
        <f t="shared" si="0"/>
        <v>A0F928</v>
      </c>
      <c r="V33">
        <v>0</v>
      </c>
      <c r="W33">
        <v>0</v>
      </c>
      <c r="X33">
        <v>2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1</v>
      </c>
      <c r="AI33" t="s">
        <v>146</v>
      </c>
      <c r="AJ33">
        <v>35.793736000000003</v>
      </c>
      <c r="AK33" t="s">
        <v>147</v>
      </c>
      <c r="AL33">
        <v>-84.010583999999994</v>
      </c>
      <c r="AM33">
        <v>25</v>
      </c>
      <c r="AN33">
        <v>1150</v>
      </c>
      <c r="AO33" t="s">
        <v>118</v>
      </c>
      <c r="AP33">
        <v>-86</v>
      </c>
      <c r="AQ33">
        <v>-106</v>
      </c>
      <c r="AR33">
        <v>960</v>
      </c>
      <c r="AZ33">
        <v>300</v>
      </c>
      <c r="BA33">
        <v>1</v>
      </c>
      <c r="BB33" t="str">
        <f t="shared" si="2"/>
        <v xml:space="preserve">N162AM  </v>
      </c>
      <c r="BC33">
        <v>1</v>
      </c>
      <c r="BE33">
        <v>0</v>
      </c>
      <c r="BF33">
        <v>0</v>
      </c>
      <c r="BG33">
        <v>0</v>
      </c>
      <c r="BH33">
        <v>1400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"14:42:34.087"</f>
        <v>14:42:34.087</v>
      </c>
      <c r="CJ33">
        <v>2</v>
      </c>
      <c r="CK33">
        <v>2</v>
      </c>
      <c r="CL33">
        <v>0</v>
      </c>
      <c r="CM33">
        <v>2</v>
      </c>
      <c r="CN33">
        <v>0</v>
      </c>
      <c r="CO33">
        <v>3</v>
      </c>
      <c r="CP33" t="s">
        <v>119</v>
      </c>
      <c r="CQ33">
        <v>232</v>
      </c>
      <c r="CR33">
        <v>1</v>
      </c>
      <c r="CW33">
        <v>14812616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"12/16/2021 14:42:34.350"</f>
        <v>12/16/2021 14:42:34.350</v>
      </c>
      <c r="C34" t="str">
        <f t="shared" si="1"/>
        <v>FFDFD3C0</v>
      </c>
      <c r="D34" t="s">
        <v>124</v>
      </c>
      <c r="E34">
        <v>10</v>
      </c>
      <c r="F34">
        <v>1010</v>
      </c>
      <c r="G34" t="s">
        <v>130</v>
      </c>
      <c r="J34" t="s">
        <v>125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"14:42:34.086"</f>
        <v>14:42:34.086</v>
      </c>
      <c r="T34" t="str">
        <f>"14:42:33.586"</f>
        <v>14:42:33.586</v>
      </c>
      <c r="U34" t="str">
        <f t="shared" si="0"/>
        <v>A0F928</v>
      </c>
      <c r="V34">
        <v>0</v>
      </c>
      <c r="W34">
        <v>0</v>
      </c>
      <c r="X34">
        <v>2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1</v>
      </c>
      <c r="AI34" t="s">
        <v>146</v>
      </c>
      <c r="AJ34">
        <v>35.793736000000003</v>
      </c>
      <c r="AK34" t="s">
        <v>147</v>
      </c>
      <c r="AL34">
        <v>-84.010583999999994</v>
      </c>
      <c r="AM34">
        <v>25</v>
      </c>
      <c r="AN34">
        <v>1150</v>
      </c>
      <c r="AO34" t="s">
        <v>118</v>
      </c>
      <c r="AP34">
        <v>-86</v>
      </c>
      <c r="AQ34">
        <v>-106</v>
      </c>
      <c r="AR34">
        <v>960</v>
      </c>
      <c r="AZ34">
        <v>300</v>
      </c>
      <c r="BA34">
        <v>1</v>
      </c>
      <c r="BB34" t="str">
        <f t="shared" si="2"/>
        <v xml:space="preserve">N162AM  </v>
      </c>
      <c r="BC34">
        <v>1</v>
      </c>
      <c r="BE34">
        <v>0</v>
      </c>
      <c r="BF34">
        <v>0</v>
      </c>
      <c r="BG34">
        <v>0</v>
      </c>
      <c r="BH34">
        <v>1400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"14:42:34.087"</f>
        <v>14:42:34.087</v>
      </c>
      <c r="CJ34">
        <v>2</v>
      </c>
      <c r="CK34">
        <v>2</v>
      </c>
      <c r="CL34">
        <v>0</v>
      </c>
      <c r="CM34">
        <v>2</v>
      </c>
      <c r="CN34">
        <v>0</v>
      </c>
      <c r="CO34">
        <v>3</v>
      </c>
      <c r="CP34" t="s">
        <v>119</v>
      </c>
      <c r="CQ34">
        <v>232</v>
      </c>
      <c r="CR34">
        <v>1</v>
      </c>
      <c r="CW34">
        <v>14812616</v>
      </c>
      <c r="CY34">
        <v>0</v>
      </c>
      <c r="CZ34">
        <v>0</v>
      </c>
      <c r="DA34">
        <v>1</v>
      </c>
      <c r="DB34">
        <v>0</v>
      </c>
      <c r="DC34">
        <v>0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"12/16/2021 14:42:34.350"</f>
        <v>12/16/2021 14:42:34.350</v>
      </c>
      <c r="C35" t="str">
        <f t="shared" si="1"/>
        <v>FFDFD3C0</v>
      </c>
      <c r="D35" t="s">
        <v>124</v>
      </c>
      <c r="E35">
        <v>5</v>
      </c>
      <c r="F35">
        <v>1005</v>
      </c>
      <c r="G35" t="s">
        <v>114</v>
      </c>
      <c r="J35" t="s">
        <v>125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"14:42:34.086"</f>
        <v>14:42:34.086</v>
      </c>
      <c r="T35" t="str">
        <f>"14:42:33.586"</f>
        <v>14:42:33.586</v>
      </c>
      <c r="U35" t="str">
        <f t="shared" si="0"/>
        <v>A0F928</v>
      </c>
      <c r="V35">
        <v>0</v>
      </c>
      <c r="W35">
        <v>0</v>
      </c>
      <c r="X35">
        <v>2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1</v>
      </c>
      <c r="AI35" t="s">
        <v>146</v>
      </c>
      <c r="AJ35">
        <v>35.793736000000003</v>
      </c>
      <c r="AK35" t="s">
        <v>147</v>
      </c>
      <c r="AL35">
        <v>-84.010583999999994</v>
      </c>
      <c r="AM35">
        <v>25</v>
      </c>
      <c r="AN35">
        <v>1150</v>
      </c>
      <c r="AO35" t="s">
        <v>118</v>
      </c>
      <c r="AP35">
        <v>-86</v>
      </c>
      <c r="AQ35">
        <v>-106</v>
      </c>
      <c r="AR35">
        <v>960</v>
      </c>
      <c r="AZ35">
        <v>300</v>
      </c>
      <c r="BA35">
        <v>1</v>
      </c>
      <c r="BB35" t="str">
        <f t="shared" si="2"/>
        <v xml:space="preserve">N162AM  </v>
      </c>
      <c r="BC35">
        <v>1</v>
      </c>
      <c r="BE35">
        <v>0</v>
      </c>
      <c r="BF35">
        <v>0</v>
      </c>
      <c r="BG35">
        <v>0</v>
      </c>
      <c r="BH35">
        <v>1400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"14:42:34.087"</f>
        <v>14:42:34.087</v>
      </c>
      <c r="CJ35">
        <v>2</v>
      </c>
      <c r="CK35">
        <v>2</v>
      </c>
      <c r="CL35">
        <v>0</v>
      </c>
      <c r="CM35">
        <v>2</v>
      </c>
      <c r="CN35">
        <v>0</v>
      </c>
      <c r="CO35">
        <v>3</v>
      </c>
      <c r="CP35" t="s">
        <v>119</v>
      </c>
      <c r="CQ35">
        <v>232</v>
      </c>
      <c r="CR35">
        <v>1</v>
      </c>
      <c r="CW35">
        <v>14812616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"12/16/2021 14:42:35.114"</f>
        <v>12/16/2021 14:42:35.114</v>
      </c>
      <c r="C36" t="str">
        <f t="shared" si="1"/>
        <v>FFDFD3C0</v>
      </c>
      <c r="D36" t="s">
        <v>113</v>
      </c>
      <c r="E36">
        <v>8</v>
      </c>
      <c r="H36">
        <v>176</v>
      </c>
      <c r="I36" t="s">
        <v>114</v>
      </c>
      <c r="J36" t="s">
        <v>115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"14:42:34.906"</f>
        <v>14:42:34.906</v>
      </c>
      <c r="T36" t="str">
        <f>"14:42:34.506"</f>
        <v>14:42:34.506</v>
      </c>
      <c r="U36" t="str">
        <f t="shared" si="0"/>
        <v>A0F928</v>
      </c>
      <c r="V36">
        <v>0</v>
      </c>
      <c r="W36">
        <v>0</v>
      </c>
      <c r="X36">
        <v>2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1</v>
      </c>
      <c r="AI36" t="s">
        <v>148</v>
      </c>
      <c r="AJ36">
        <v>35.793306999999999</v>
      </c>
      <c r="AK36" t="s">
        <v>149</v>
      </c>
      <c r="AL36">
        <v>-84.010992000000002</v>
      </c>
      <c r="AM36">
        <v>25</v>
      </c>
      <c r="AN36">
        <v>1150</v>
      </c>
      <c r="AO36" t="s">
        <v>118</v>
      </c>
      <c r="AP36">
        <v>-82</v>
      </c>
      <c r="AQ36">
        <v>-109</v>
      </c>
      <c r="AR36">
        <v>1024</v>
      </c>
      <c r="AZ36">
        <v>300</v>
      </c>
      <c r="BA36">
        <v>1</v>
      </c>
      <c r="BB36" t="str">
        <f t="shared" si="2"/>
        <v xml:space="preserve">N162AM  </v>
      </c>
      <c r="BC36">
        <v>1</v>
      </c>
      <c r="BE36">
        <v>0</v>
      </c>
      <c r="BF36">
        <v>0</v>
      </c>
      <c r="BG36">
        <v>0</v>
      </c>
      <c r="BH36">
        <v>1425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"14:42:34.908"</f>
        <v>14:42:34.908</v>
      </c>
      <c r="CJ36">
        <v>2</v>
      </c>
      <c r="CK36">
        <v>2</v>
      </c>
      <c r="CL36">
        <v>0</v>
      </c>
      <c r="CM36">
        <v>2</v>
      </c>
      <c r="CN36">
        <v>0</v>
      </c>
      <c r="CO36">
        <v>4</v>
      </c>
      <c r="CP36" t="s">
        <v>119</v>
      </c>
      <c r="CQ36">
        <v>232</v>
      </c>
      <c r="CR36">
        <v>1</v>
      </c>
      <c r="CW36">
        <v>14813861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"12/16/2021 14:42:35.145"</f>
        <v>12/16/2021 14:42:35.145</v>
      </c>
      <c r="C37" t="str">
        <f t="shared" si="1"/>
        <v>FFDFD3C0</v>
      </c>
      <c r="D37" t="s">
        <v>124</v>
      </c>
      <c r="E37">
        <v>10</v>
      </c>
      <c r="F37">
        <v>1010</v>
      </c>
      <c r="G37" t="s">
        <v>130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"14:42:34.906"</f>
        <v>14:42:34.906</v>
      </c>
      <c r="T37" t="str">
        <f>"14:42:34.506"</f>
        <v>14:42:34.506</v>
      </c>
      <c r="U37" t="str">
        <f t="shared" si="0"/>
        <v>A0F928</v>
      </c>
      <c r="V37">
        <v>0</v>
      </c>
      <c r="W37">
        <v>0</v>
      </c>
      <c r="X37">
        <v>2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1</v>
      </c>
      <c r="AI37" t="s">
        <v>148</v>
      </c>
      <c r="AJ37">
        <v>35.793306999999999</v>
      </c>
      <c r="AK37" t="s">
        <v>149</v>
      </c>
      <c r="AL37">
        <v>-84.010992000000002</v>
      </c>
      <c r="AM37">
        <v>25</v>
      </c>
      <c r="AN37">
        <v>1150</v>
      </c>
      <c r="AO37" t="s">
        <v>118</v>
      </c>
      <c r="AP37">
        <v>-82</v>
      </c>
      <c r="AQ37">
        <v>-109</v>
      </c>
      <c r="AR37">
        <v>1024</v>
      </c>
      <c r="AZ37">
        <v>300</v>
      </c>
      <c r="BA37">
        <v>1</v>
      </c>
      <c r="BB37" t="str">
        <f t="shared" si="2"/>
        <v xml:space="preserve">N162AM  </v>
      </c>
      <c r="BC37">
        <v>1</v>
      </c>
      <c r="BE37">
        <v>0</v>
      </c>
      <c r="BF37">
        <v>0</v>
      </c>
      <c r="BG37">
        <v>0</v>
      </c>
      <c r="BH37">
        <v>1425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"14:42:34.908"</f>
        <v>14:42:34.908</v>
      </c>
      <c r="CJ37">
        <v>2</v>
      </c>
      <c r="CK37">
        <v>2</v>
      </c>
      <c r="CL37">
        <v>0</v>
      </c>
      <c r="CM37">
        <v>2</v>
      </c>
      <c r="CN37">
        <v>0</v>
      </c>
      <c r="CO37">
        <v>4</v>
      </c>
      <c r="CP37" t="s">
        <v>119</v>
      </c>
      <c r="CQ37">
        <v>232</v>
      </c>
      <c r="CR37">
        <v>1</v>
      </c>
      <c r="CW37">
        <v>14813861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1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"12/16/2021 14:42:35.145"</f>
        <v>12/16/2021 14:42:35.145</v>
      </c>
      <c r="C38" t="str">
        <f t="shared" si="1"/>
        <v>FFDFD3C0</v>
      </c>
      <c r="D38" t="s">
        <v>133</v>
      </c>
      <c r="E38">
        <v>44</v>
      </c>
      <c r="H38">
        <v>131</v>
      </c>
      <c r="I38" t="s">
        <v>134</v>
      </c>
      <c r="J38" t="s">
        <v>135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"14:42:34.906"</f>
        <v>14:42:34.906</v>
      </c>
      <c r="T38" t="str">
        <f>"14:42:34.506"</f>
        <v>14:42:34.506</v>
      </c>
      <c r="U38" t="str">
        <f t="shared" si="0"/>
        <v>A0F928</v>
      </c>
      <c r="V38">
        <v>0</v>
      </c>
      <c r="W38">
        <v>0</v>
      </c>
      <c r="X38">
        <v>2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1</v>
      </c>
      <c r="AI38" t="s">
        <v>148</v>
      </c>
      <c r="AJ38">
        <v>35.793306999999999</v>
      </c>
      <c r="AK38" t="s">
        <v>149</v>
      </c>
      <c r="AL38">
        <v>-84.010992000000002</v>
      </c>
      <c r="AM38">
        <v>25</v>
      </c>
      <c r="AN38">
        <v>1150</v>
      </c>
      <c r="AO38" t="s">
        <v>118</v>
      </c>
      <c r="AP38">
        <v>-82</v>
      </c>
      <c r="AQ38">
        <v>-109</v>
      </c>
      <c r="AR38">
        <v>1024</v>
      </c>
      <c r="AZ38">
        <v>300</v>
      </c>
      <c r="BA38">
        <v>1</v>
      </c>
      <c r="BB38" t="str">
        <f t="shared" si="2"/>
        <v xml:space="preserve">N162AM  </v>
      </c>
      <c r="BC38">
        <v>1</v>
      </c>
      <c r="BE38">
        <v>0</v>
      </c>
      <c r="BF38">
        <v>0</v>
      </c>
      <c r="BG38">
        <v>0</v>
      </c>
      <c r="BH38">
        <v>1425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"14:42:34.908"</f>
        <v>14:42:34.908</v>
      </c>
      <c r="CJ38">
        <v>2</v>
      </c>
      <c r="CK38">
        <v>2</v>
      </c>
      <c r="CL38">
        <v>0</v>
      </c>
      <c r="CM38">
        <v>2</v>
      </c>
      <c r="CN38">
        <v>0</v>
      </c>
      <c r="CO38">
        <v>4</v>
      </c>
      <c r="CP38" t="s">
        <v>119</v>
      </c>
      <c r="CQ38">
        <v>232</v>
      </c>
      <c r="CR38">
        <v>1</v>
      </c>
      <c r="CW38">
        <v>14813861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1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"12/16/2021 14:42:35.145"</f>
        <v>12/16/2021 14:42:35.145</v>
      </c>
      <c r="C39" t="str">
        <f t="shared" si="1"/>
        <v>FFDFD3C0</v>
      </c>
      <c r="D39" t="s">
        <v>124</v>
      </c>
      <c r="E39">
        <v>5</v>
      </c>
      <c r="F39">
        <v>1005</v>
      </c>
      <c r="G39" t="s">
        <v>114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"14:42:34.906"</f>
        <v>14:42:34.906</v>
      </c>
      <c r="T39" t="str">
        <f>"14:42:34.506"</f>
        <v>14:42:34.506</v>
      </c>
      <c r="U39" t="str">
        <f t="shared" si="0"/>
        <v>A0F928</v>
      </c>
      <c r="V39">
        <v>0</v>
      </c>
      <c r="W39">
        <v>0</v>
      </c>
      <c r="X39">
        <v>2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1</v>
      </c>
      <c r="AI39" t="s">
        <v>148</v>
      </c>
      <c r="AJ39">
        <v>35.793306999999999</v>
      </c>
      <c r="AK39" t="s">
        <v>149</v>
      </c>
      <c r="AL39">
        <v>-84.010992000000002</v>
      </c>
      <c r="AM39">
        <v>25</v>
      </c>
      <c r="AN39">
        <v>1150</v>
      </c>
      <c r="AO39" t="s">
        <v>118</v>
      </c>
      <c r="AP39">
        <v>-82</v>
      </c>
      <c r="AQ39">
        <v>-109</v>
      </c>
      <c r="AR39">
        <v>1024</v>
      </c>
      <c r="AZ39">
        <v>300</v>
      </c>
      <c r="BA39">
        <v>1</v>
      </c>
      <c r="BB39" t="str">
        <f t="shared" si="2"/>
        <v xml:space="preserve">N162AM  </v>
      </c>
      <c r="BC39">
        <v>1</v>
      </c>
      <c r="BE39">
        <v>0</v>
      </c>
      <c r="BF39">
        <v>0</v>
      </c>
      <c r="BG39">
        <v>0</v>
      </c>
      <c r="BH39">
        <v>1425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"14:42:34.908"</f>
        <v>14:42:34.908</v>
      </c>
      <c r="CJ39">
        <v>2</v>
      </c>
      <c r="CK39">
        <v>2</v>
      </c>
      <c r="CL39">
        <v>0</v>
      </c>
      <c r="CM39">
        <v>2</v>
      </c>
      <c r="CN39">
        <v>0</v>
      </c>
      <c r="CO39">
        <v>4</v>
      </c>
      <c r="CP39" t="s">
        <v>119</v>
      </c>
      <c r="CQ39">
        <v>232</v>
      </c>
      <c r="CR39">
        <v>1</v>
      </c>
      <c r="CW39">
        <v>14813861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"12/16/2021 14:42:36.052"</f>
        <v>12/16/2021 14:42:36.052</v>
      </c>
      <c r="C40" t="str">
        <f t="shared" si="1"/>
        <v>FFDFD3C0</v>
      </c>
      <c r="D40" t="s">
        <v>124</v>
      </c>
      <c r="E40">
        <v>10</v>
      </c>
      <c r="F40">
        <v>1010</v>
      </c>
      <c r="G40" t="s">
        <v>130</v>
      </c>
      <c r="J40" t="s">
        <v>125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"14:42:35.828"</f>
        <v>14:42:35.828</v>
      </c>
      <c r="T40" t="str">
        <f>"14:42:35.328"</f>
        <v>14:42:35.328</v>
      </c>
      <c r="U40" t="str">
        <f t="shared" si="0"/>
        <v>A0F928</v>
      </c>
      <c r="V40">
        <v>0</v>
      </c>
      <c r="W40">
        <v>0</v>
      </c>
      <c r="X40">
        <v>2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1</v>
      </c>
      <c r="AI40" t="s">
        <v>150</v>
      </c>
      <c r="AJ40">
        <v>35.792856</v>
      </c>
      <c r="AK40" t="s">
        <v>151</v>
      </c>
      <c r="AL40">
        <v>-84.011357000000004</v>
      </c>
      <c r="AM40">
        <v>25</v>
      </c>
      <c r="AN40">
        <v>1175</v>
      </c>
      <c r="AO40" t="s">
        <v>118</v>
      </c>
      <c r="AP40">
        <v>-79</v>
      </c>
      <c r="AQ40">
        <v>-111</v>
      </c>
      <c r="AR40">
        <v>1088</v>
      </c>
      <c r="AZ40">
        <v>300</v>
      </c>
      <c r="BA40">
        <v>1</v>
      </c>
      <c r="BB40" t="str">
        <f t="shared" si="2"/>
        <v xml:space="preserve">N162AM  </v>
      </c>
      <c r="BC40">
        <v>1</v>
      </c>
      <c r="BE40">
        <v>0</v>
      </c>
      <c r="BF40">
        <v>0</v>
      </c>
      <c r="BG40">
        <v>0</v>
      </c>
      <c r="BH40">
        <v>1425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"14:42:35.830"</f>
        <v>14:42:35.830</v>
      </c>
      <c r="CJ40">
        <v>2</v>
      </c>
      <c r="CK40">
        <v>2</v>
      </c>
      <c r="CL40">
        <v>0</v>
      </c>
      <c r="CM40">
        <v>2</v>
      </c>
      <c r="CN40">
        <v>0</v>
      </c>
      <c r="CO40">
        <v>5</v>
      </c>
      <c r="CP40" t="s">
        <v>119</v>
      </c>
      <c r="CQ40">
        <v>232</v>
      </c>
      <c r="CR40">
        <v>2</v>
      </c>
      <c r="CW40">
        <v>6016889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"12/16/2021 14:42:36.052"</f>
        <v>12/16/2021 14:42:36.052</v>
      </c>
      <c r="C41" t="str">
        <f t="shared" si="1"/>
        <v>FFDFD3C0</v>
      </c>
      <c r="D41" t="s">
        <v>133</v>
      </c>
      <c r="E41">
        <v>44</v>
      </c>
      <c r="H41">
        <v>131</v>
      </c>
      <c r="I41" t="s">
        <v>134</v>
      </c>
      <c r="J41" t="s">
        <v>135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"14:42:35.828"</f>
        <v>14:42:35.828</v>
      </c>
      <c r="T41" t="str">
        <f>"14:42:35.328"</f>
        <v>14:42:35.328</v>
      </c>
      <c r="U41" t="str">
        <f t="shared" si="0"/>
        <v>A0F928</v>
      </c>
      <c r="V41">
        <v>0</v>
      </c>
      <c r="W41">
        <v>0</v>
      </c>
      <c r="X41">
        <v>2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1</v>
      </c>
      <c r="AI41" t="s">
        <v>150</v>
      </c>
      <c r="AJ41">
        <v>35.792856</v>
      </c>
      <c r="AK41" t="s">
        <v>151</v>
      </c>
      <c r="AL41">
        <v>-84.011357000000004</v>
      </c>
      <c r="AM41">
        <v>25</v>
      </c>
      <c r="AN41">
        <v>1175</v>
      </c>
      <c r="AO41" t="s">
        <v>118</v>
      </c>
      <c r="AP41">
        <v>-79</v>
      </c>
      <c r="AQ41">
        <v>-111</v>
      </c>
      <c r="AR41">
        <v>1088</v>
      </c>
      <c r="AZ41">
        <v>300</v>
      </c>
      <c r="BA41">
        <v>1</v>
      </c>
      <c r="BB41" t="str">
        <f t="shared" si="2"/>
        <v xml:space="preserve">N162AM  </v>
      </c>
      <c r="BC41">
        <v>1</v>
      </c>
      <c r="BE41">
        <v>0</v>
      </c>
      <c r="BF41">
        <v>0</v>
      </c>
      <c r="BG41">
        <v>0</v>
      </c>
      <c r="BH41">
        <v>1425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"14:42:35.830"</f>
        <v>14:42:35.830</v>
      </c>
      <c r="CJ41">
        <v>2</v>
      </c>
      <c r="CK41">
        <v>2</v>
      </c>
      <c r="CL41">
        <v>0</v>
      </c>
      <c r="CM41">
        <v>2</v>
      </c>
      <c r="CN41">
        <v>0</v>
      </c>
      <c r="CO41">
        <v>5</v>
      </c>
      <c r="CP41" t="s">
        <v>119</v>
      </c>
      <c r="CQ41">
        <v>232</v>
      </c>
      <c r="CR41">
        <v>2</v>
      </c>
      <c r="CW41">
        <v>6016889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1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"12/16/2021 14:42:36.052"</f>
        <v>12/16/2021 14:42:36.052</v>
      </c>
      <c r="C42" t="str">
        <f t="shared" si="1"/>
        <v>FFDFD3C0</v>
      </c>
      <c r="D42" t="s">
        <v>124</v>
      </c>
      <c r="E42">
        <v>5</v>
      </c>
      <c r="F42">
        <v>1005</v>
      </c>
      <c r="G42" t="s">
        <v>114</v>
      </c>
      <c r="J42" t="s">
        <v>125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"14:42:35.828"</f>
        <v>14:42:35.828</v>
      </c>
      <c r="T42" t="str">
        <f>"14:42:35.328"</f>
        <v>14:42:35.328</v>
      </c>
      <c r="U42" t="str">
        <f t="shared" si="0"/>
        <v>A0F928</v>
      </c>
      <c r="V42">
        <v>0</v>
      </c>
      <c r="W42">
        <v>0</v>
      </c>
      <c r="X42">
        <v>2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1</v>
      </c>
      <c r="AI42" t="s">
        <v>150</v>
      </c>
      <c r="AJ42">
        <v>35.792856</v>
      </c>
      <c r="AK42" t="s">
        <v>151</v>
      </c>
      <c r="AL42">
        <v>-84.011357000000004</v>
      </c>
      <c r="AM42">
        <v>25</v>
      </c>
      <c r="AN42">
        <v>1175</v>
      </c>
      <c r="AO42" t="s">
        <v>118</v>
      </c>
      <c r="AP42">
        <v>-79</v>
      </c>
      <c r="AQ42">
        <v>-111</v>
      </c>
      <c r="AR42">
        <v>1088</v>
      </c>
      <c r="AZ42">
        <v>300</v>
      </c>
      <c r="BA42">
        <v>1</v>
      </c>
      <c r="BB42" t="str">
        <f t="shared" si="2"/>
        <v xml:space="preserve">N162AM  </v>
      </c>
      <c r="BC42">
        <v>1</v>
      </c>
      <c r="BE42">
        <v>0</v>
      </c>
      <c r="BF42">
        <v>0</v>
      </c>
      <c r="BG42">
        <v>0</v>
      </c>
      <c r="BH42">
        <v>1425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"14:42:35.830"</f>
        <v>14:42:35.830</v>
      </c>
      <c r="CJ42">
        <v>2</v>
      </c>
      <c r="CK42">
        <v>2</v>
      </c>
      <c r="CL42">
        <v>0</v>
      </c>
      <c r="CM42">
        <v>2</v>
      </c>
      <c r="CN42">
        <v>0</v>
      </c>
      <c r="CO42">
        <v>5</v>
      </c>
      <c r="CP42" t="s">
        <v>119</v>
      </c>
      <c r="CQ42">
        <v>232</v>
      </c>
      <c r="CR42">
        <v>2</v>
      </c>
      <c r="CW42">
        <v>6016889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1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"12/16/2021 14:42:36.067"</f>
        <v>12/16/2021 14:42:36.067</v>
      </c>
      <c r="C43" t="str">
        <f t="shared" si="1"/>
        <v>FFDFD3C0</v>
      </c>
      <c r="D43" t="s">
        <v>113</v>
      </c>
      <c r="E43">
        <v>8</v>
      </c>
      <c r="H43">
        <v>176</v>
      </c>
      <c r="I43" t="s">
        <v>114</v>
      </c>
      <c r="J43" t="s">
        <v>115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"14:42:35.828"</f>
        <v>14:42:35.828</v>
      </c>
      <c r="T43" t="str">
        <f>"14:42:35.328"</f>
        <v>14:42:35.328</v>
      </c>
      <c r="U43" t="str">
        <f t="shared" si="0"/>
        <v>A0F928</v>
      </c>
      <c r="V43">
        <v>0</v>
      </c>
      <c r="W43">
        <v>0</v>
      </c>
      <c r="X43">
        <v>2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1</v>
      </c>
      <c r="AI43" t="s">
        <v>150</v>
      </c>
      <c r="AJ43">
        <v>35.792856</v>
      </c>
      <c r="AK43" t="s">
        <v>151</v>
      </c>
      <c r="AL43">
        <v>-84.011357000000004</v>
      </c>
      <c r="AM43">
        <v>25</v>
      </c>
      <c r="AN43">
        <v>1175</v>
      </c>
      <c r="AO43" t="s">
        <v>118</v>
      </c>
      <c r="AP43">
        <v>-79</v>
      </c>
      <c r="AQ43">
        <v>-111</v>
      </c>
      <c r="AR43">
        <v>1088</v>
      </c>
      <c r="AZ43">
        <v>300</v>
      </c>
      <c r="BA43">
        <v>1</v>
      </c>
      <c r="BB43" t="str">
        <f t="shared" si="2"/>
        <v xml:space="preserve">N162AM  </v>
      </c>
      <c r="BC43">
        <v>1</v>
      </c>
      <c r="BE43">
        <v>0</v>
      </c>
      <c r="BF43">
        <v>0</v>
      </c>
      <c r="BG43">
        <v>0</v>
      </c>
      <c r="BH43">
        <v>1425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"14:42:35.830"</f>
        <v>14:42:35.830</v>
      </c>
      <c r="CJ43">
        <v>2</v>
      </c>
      <c r="CK43">
        <v>2</v>
      </c>
      <c r="CL43">
        <v>0</v>
      </c>
      <c r="CM43">
        <v>2</v>
      </c>
      <c r="CN43">
        <v>0</v>
      </c>
      <c r="CO43">
        <v>5</v>
      </c>
      <c r="CP43" t="s">
        <v>119</v>
      </c>
      <c r="CQ43">
        <v>232</v>
      </c>
      <c r="CR43">
        <v>2</v>
      </c>
      <c r="CW43">
        <v>6016889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"12/16/2021 14:42:37.099"</f>
        <v>12/16/2021 14:42:37.099</v>
      </c>
      <c r="C44" t="str">
        <f t="shared" si="1"/>
        <v>FFDFD3C0</v>
      </c>
      <c r="D44" t="s">
        <v>124</v>
      </c>
      <c r="E44">
        <v>10</v>
      </c>
      <c r="F44">
        <v>1010</v>
      </c>
      <c r="G44" t="s">
        <v>130</v>
      </c>
      <c r="J44" t="s">
        <v>125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"14:42:36.852"</f>
        <v>14:42:36.852</v>
      </c>
      <c r="T44" t="str">
        <f>"14:42:36.352"</f>
        <v>14:42:36.352</v>
      </c>
      <c r="U44" t="str">
        <f t="shared" si="0"/>
        <v>A0F928</v>
      </c>
      <c r="V44">
        <v>0</v>
      </c>
      <c r="W44">
        <v>0</v>
      </c>
      <c r="X44">
        <v>2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1</v>
      </c>
      <c r="AI44" t="s">
        <v>152</v>
      </c>
      <c r="AJ44">
        <v>35.792254999999997</v>
      </c>
      <c r="AK44" t="s">
        <v>153</v>
      </c>
      <c r="AL44">
        <v>-84.011807000000005</v>
      </c>
      <c r="AM44">
        <v>25</v>
      </c>
      <c r="AN44">
        <v>1200</v>
      </c>
      <c r="AO44" t="s">
        <v>118</v>
      </c>
      <c r="AP44">
        <v>-74</v>
      </c>
      <c r="AQ44">
        <v>-115</v>
      </c>
      <c r="AR44">
        <v>1152</v>
      </c>
      <c r="AZ44">
        <v>300</v>
      </c>
      <c r="BA44">
        <v>1</v>
      </c>
      <c r="BB44" t="str">
        <f t="shared" si="2"/>
        <v xml:space="preserve">N162AM  </v>
      </c>
      <c r="BC44">
        <v>1</v>
      </c>
      <c r="BE44">
        <v>0</v>
      </c>
      <c r="BF44">
        <v>0</v>
      </c>
      <c r="BG44">
        <v>0</v>
      </c>
      <c r="BH44">
        <v>1475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"14:42:36.859"</f>
        <v>14:42:36.859</v>
      </c>
      <c r="CJ44">
        <v>2</v>
      </c>
      <c r="CK44">
        <v>2</v>
      </c>
      <c r="CL44">
        <v>0</v>
      </c>
      <c r="CM44">
        <v>2</v>
      </c>
      <c r="CN44">
        <v>0</v>
      </c>
      <c r="CO44">
        <v>5</v>
      </c>
      <c r="CP44" t="s">
        <v>119</v>
      </c>
      <c r="CQ44">
        <v>232</v>
      </c>
      <c r="CR44">
        <v>2</v>
      </c>
      <c r="CW44">
        <v>6018429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"12/16/2021 14:42:37.099"</f>
        <v>12/16/2021 14:42:37.099</v>
      </c>
      <c r="C45" t="str">
        <f t="shared" si="1"/>
        <v>FFDFD3C0</v>
      </c>
      <c r="D45" t="s">
        <v>124</v>
      </c>
      <c r="E45">
        <v>5</v>
      </c>
      <c r="F45">
        <v>1005</v>
      </c>
      <c r="G45" t="s">
        <v>114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"14:42:36.852"</f>
        <v>14:42:36.852</v>
      </c>
      <c r="T45" t="str">
        <f>"14:42:36.352"</f>
        <v>14:42:36.352</v>
      </c>
      <c r="U45" t="str">
        <f t="shared" si="0"/>
        <v>A0F928</v>
      </c>
      <c r="V45">
        <v>0</v>
      </c>
      <c r="W45">
        <v>0</v>
      </c>
      <c r="X45">
        <v>2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1</v>
      </c>
      <c r="AI45" t="s">
        <v>152</v>
      </c>
      <c r="AJ45">
        <v>35.792254999999997</v>
      </c>
      <c r="AK45" t="s">
        <v>153</v>
      </c>
      <c r="AL45">
        <v>-84.011807000000005</v>
      </c>
      <c r="AM45">
        <v>25</v>
      </c>
      <c r="AN45">
        <v>1200</v>
      </c>
      <c r="AO45" t="s">
        <v>118</v>
      </c>
      <c r="AP45">
        <v>-74</v>
      </c>
      <c r="AQ45">
        <v>-115</v>
      </c>
      <c r="AR45">
        <v>1152</v>
      </c>
      <c r="AZ45">
        <v>300</v>
      </c>
      <c r="BA45">
        <v>1</v>
      </c>
      <c r="BB45" t="str">
        <f t="shared" si="2"/>
        <v xml:space="preserve">N162AM  </v>
      </c>
      <c r="BC45">
        <v>1</v>
      </c>
      <c r="BE45">
        <v>0</v>
      </c>
      <c r="BF45">
        <v>0</v>
      </c>
      <c r="BG45">
        <v>0</v>
      </c>
      <c r="BH45">
        <v>1475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"14:42:36.859"</f>
        <v>14:42:36.859</v>
      </c>
      <c r="CJ45">
        <v>2</v>
      </c>
      <c r="CK45">
        <v>2</v>
      </c>
      <c r="CL45">
        <v>0</v>
      </c>
      <c r="CM45">
        <v>2</v>
      </c>
      <c r="CN45">
        <v>0</v>
      </c>
      <c r="CO45">
        <v>5</v>
      </c>
      <c r="CP45" t="s">
        <v>119</v>
      </c>
      <c r="CQ45">
        <v>232</v>
      </c>
      <c r="CR45">
        <v>2</v>
      </c>
      <c r="CW45">
        <v>6018429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1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"12/16/2021 14:42:37.099"</f>
        <v>12/16/2021 14:42:37.099</v>
      </c>
      <c r="C46" t="str">
        <f t="shared" si="1"/>
        <v>FFDFD3C0</v>
      </c>
      <c r="D46" t="s">
        <v>133</v>
      </c>
      <c r="E46">
        <v>44</v>
      </c>
      <c r="H46">
        <v>131</v>
      </c>
      <c r="I46" t="s">
        <v>134</v>
      </c>
      <c r="J46" t="s">
        <v>135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"14:42:36.852"</f>
        <v>14:42:36.852</v>
      </c>
      <c r="T46" t="str">
        <f>"14:42:36.352"</f>
        <v>14:42:36.352</v>
      </c>
      <c r="U46" t="str">
        <f t="shared" si="0"/>
        <v>A0F928</v>
      </c>
      <c r="V46">
        <v>0</v>
      </c>
      <c r="W46">
        <v>0</v>
      </c>
      <c r="X46">
        <v>2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1</v>
      </c>
      <c r="AI46" t="s">
        <v>152</v>
      </c>
      <c r="AJ46">
        <v>35.792254999999997</v>
      </c>
      <c r="AK46" t="s">
        <v>153</v>
      </c>
      <c r="AL46">
        <v>-84.011807000000005</v>
      </c>
      <c r="AM46">
        <v>25</v>
      </c>
      <c r="AN46">
        <v>1200</v>
      </c>
      <c r="AO46" t="s">
        <v>118</v>
      </c>
      <c r="AP46">
        <v>-74</v>
      </c>
      <c r="AQ46">
        <v>-115</v>
      </c>
      <c r="AR46">
        <v>1152</v>
      </c>
      <c r="AZ46">
        <v>300</v>
      </c>
      <c r="BA46">
        <v>1</v>
      </c>
      <c r="BB46" t="str">
        <f t="shared" si="2"/>
        <v xml:space="preserve">N162AM  </v>
      </c>
      <c r="BC46">
        <v>1</v>
      </c>
      <c r="BE46">
        <v>0</v>
      </c>
      <c r="BF46">
        <v>0</v>
      </c>
      <c r="BG46">
        <v>0</v>
      </c>
      <c r="BH46">
        <v>1475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"14:42:36.859"</f>
        <v>14:42:36.859</v>
      </c>
      <c r="CJ46">
        <v>2</v>
      </c>
      <c r="CK46">
        <v>2</v>
      </c>
      <c r="CL46">
        <v>0</v>
      </c>
      <c r="CM46">
        <v>2</v>
      </c>
      <c r="CN46">
        <v>0</v>
      </c>
      <c r="CO46">
        <v>5</v>
      </c>
      <c r="CP46" t="s">
        <v>119</v>
      </c>
      <c r="CQ46">
        <v>232</v>
      </c>
      <c r="CR46">
        <v>2</v>
      </c>
      <c r="CW46">
        <v>6018429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"12/16/2021 14:42:37.114"</f>
        <v>12/16/2021 14:42:37.114</v>
      </c>
      <c r="C47" t="str">
        <f t="shared" si="1"/>
        <v>FFDFD3C0</v>
      </c>
      <c r="D47" t="s">
        <v>113</v>
      </c>
      <c r="E47">
        <v>8</v>
      </c>
      <c r="H47">
        <v>176</v>
      </c>
      <c r="I47" t="s">
        <v>114</v>
      </c>
      <c r="J47" t="s">
        <v>115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"14:42:36.852"</f>
        <v>14:42:36.852</v>
      </c>
      <c r="T47" t="str">
        <f>"14:42:36.352"</f>
        <v>14:42:36.352</v>
      </c>
      <c r="U47" t="str">
        <f t="shared" si="0"/>
        <v>A0F928</v>
      </c>
      <c r="V47">
        <v>0</v>
      </c>
      <c r="W47">
        <v>0</v>
      </c>
      <c r="X47">
        <v>2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1</v>
      </c>
      <c r="AI47" t="s">
        <v>152</v>
      </c>
      <c r="AJ47">
        <v>35.792254999999997</v>
      </c>
      <c r="AK47" t="s">
        <v>153</v>
      </c>
      <c r="AL47">
        <v>-84.011807000000005</v>
      </c>
      <c r="AM47">
        <v>25</v>
      </c>
      <c r="AN47">
        <v>1200</v>
      </c>
      <c r="AO47" t="s">
        <v>118</v>
      </c>
      <c r="AP47">
        <v>-74</v>
      </c>
      <c r="AQ47">
        <v>-115</v>
      </c>
      <c r="AR47">
        <v>1152</v>
      </c>
      <c r="AZ47">
        <v>300</v>
      </c>
      <c r="BA47">
        <v>1</v>
      </c>
      <c r="BB47" t="str">
        <f t="shared" si="2"/>
        <v xml:space="preserve">N162AM  </v>
      </c>
      <c r="BC47">
        <v>1</v>
      </c>
      <c r="BE47">
        <v>0</v>
      </c>
      <c r="BF47">
        <v>0</v>
      </c>
      <c r="BG47">
        <v>0</v>
      </c>
      <c r="BH47">
        <v>1475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"14:42:36.859"</f>
        <v>14:42:36.859</v>
      </c>
      <c r="CJ47">
        <v>2</v>
      </c>
      <c r="CK47">
        <v>2</v>
      </c>
      <c r="CL47">
        <v>0</v>
      </c>
      <c r="CM47">
        <v>2</v>
      </c>
      <c r="CN47">
        <v>0</v>
      </c>
      <c r="CO47">
        <v>5</v>
      </c>
      <c r="CP47" t="s">
        <v>119</v>
      </c>
      <c r="CQ47">
        <v>232</v>
      </c>
      <c r="CR47">
        <v>2</v>
      </c>
      <c r="CW47">
        <v>6018429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1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"12/16/2021 14:42:38.161"</f>
        <v>12/16/2021 14:42:38.161</v>
      </c>
      <c r="C48" t="str">
        <f t="shared" si="1"/>
        <v>FFDFD3C0</v>
      </c>
      <c r="D48" t="s">
        <v>124</v>
      </c>
      <c r="E48">
        <v>5</v>
      </c>
      <c r="F48">
        <v>1005</v>
      </c>
      <c r="G48" t="s">
        <v>114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"14:42:37.938"</f>
        <v>14:42:37.938</v>
      </c>
      <c r="T48" t="str">
        <f>"14:42:37.438"</f>
        <v>14:42:37.438</v>
      </c>
      <c r="U48" t="str">
        <f t="shared" si="0"/>
        <v>A0F928</v>
      </c>
      <c r="V48">
        <v>0</v>
      </c>
      <c r="W48">
        <v>0</v>
      </c>
      <c r="X48">
        <v>2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1</v>
      </c>
      <c r="AI48" t="s">
        <v>154</v>
      </c>
      <c r="AJ48">
        <v>35.791697999999997</v>
      </c>
      <c r="AK48" t="s">
        <v>155</v>
      </c>
      <c r="AL48">
        <v>-84.012214999999998</v>
      </c>
      <c r="AM48">
        <v>25</v>
      </c>
      <c r="AN48">
        <v>1225</v>
      </c>
      <c r="AO48" t="s">
        <v>118</v>
      </c>
      <c r="AP48">
        <v>-67</v>
      </c>
      <c r="AQ48">
        <v>-118</v>
      </c>
      <c r="AR48">
        <v>1344</v>
      </c>
      <c r="AZ48">
        <v>300</v>
      </c>
      <c r="BA48">
        <v>1</v>
      </c>
      <c r="BB48" t="str">
        <f t="shared" si="2"/>
        <v xml:space="preserve">N162AM  </v>
      </c>
      <c r="BC48">
        <v>1</v>
      </c>
      <c r="BE48">
        <v>0</v>
      </c>
      <c r="BF48">
        <v>0</v>
      </c>
      <c r="BG48">
        <v>0</v>
      </c>
      <c r="BH48">
        <v>1475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"14:42:37.940"</f>
        <v>14:42:37.940</v>
      </c>
      <c r="CJ48">
        <v>2</v>
      </c>
      <c r="CK48">
        <v>2</v>
      </c>
      <c r="CL48">
        <v>0</v>
      </c>
      <c r="CM48">
        <v>2</v>
      </c>
      <c r="CN48">
        <v>0</v>
      </c>
      <c r="CO48">
        <v>4</v>
      </c>
      <c r="CP48" t="s">
        <v>119</v>
      </c>
      <c r="CQ48">
        <v>232</v>
      </c>
      <c r="CR48">
        <v>2</v>
      </c>
      <c r="CW48">
        <v>6020084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"12/16/2021 14:42:38.192"</f>
        <v>12/16/2021 14:42:38.192</v>
      </c>
      <c r="C49" t="str">
        <f t="shared" si="1"/>
        <v>FFDFD3C0</v>
      </c>
      <c r="D49" t="s">
        <v>113</v>
      </c>
      <c r="E49">
        <v>8</v>
      </c>
      <c r="H49">
        <v>176</v>
      </c>
      <c r="I49" t="s">
        <v>114</v>
      </c>
      <c r="J49" t="s">
        <v>115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"14:42:37.938"</f>
        <v>14:42:37.938</v>
      </c>
      <c r="T49" t="str">
        <f>"14:42:37.438"</f>
        <v>14:42:37.438</v>
      </c>
      <c r="U49" t="str">
        <f t="shared" si="0"/>
        <v>A0F928</v>
      </c>
      <c r="V49">
        <v>0</v>
      </c>
      <c r="W49">
        <v>0</v>
      </c>
      <c r="X49">
        <v>2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1</v>
      </c>
      <c r="AI49" t="s">
        <v>154</v>
      </c>
      <c r="AJ49">
        <v>35.791697999999997</v>
      </c>
      <c r="AK49" t="s">
        <v>155</v>
      </c>
      <c r="AL49">
        <v>-84.012214999999998</v>
      </c>
      <c r="AM49">
        <v>25</v>
      </c>
      <c r="AN49">
        <v>1225</v>
      </c>
      <c r="AO49" t="s">
        <v>118</v>
      </c>
      <c r="AP49">
        <v>-67</v>
      </c>
      <c r="AQ49">
        <v>-118</v>
      </c>
      <c r="AR49">
        <v>1344</v>
      </c>
      <c r="AZ49">
        <v>300</v>
      </c>
      <c r="BA49">
        <v>1</v>
      </c>
      <c r="BB49" t="str">
        <f t="shared" si="2"/>
        <v xml:space="preserve">N162AM  </v>
      </c>
      <c r="BC49">
        <v>1</v>
      </c>
      <c r="BE49">
        <v>0</v>
      </c>
      <c r="BF49">
        <v>0</v>
      </c>
      <c r="BG49">
        <v>0</v>
      </c>
      <c r="BH49">
        <v>1475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"14:42:37.940"</f>
        <v>14:42:37.940</v>
      </c>
      <c r="CJ49">
        <v>2</v>
      </c>
      <c r="CK49">
        <v>2</v>
      </c>
      <c r="CL49">
        <v>0</v>
      </c>
      <c r="CM49">
        <v>2</v>
      </c>
      <c r="CN49">
        <v>0</v>
      </c>
      <c r="CO49">
        <v>4</v>
      </c>
      <c r="CP49" t="s">
        <v>119</v>
      </c>
      <c r="CQ49">
        <v>232</v>
      </c>
      <c r="CR49">
        <v>2</v>
      </c>
      <c r="CW49">
        <v>6020084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1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"12/16/2021 14:42:38.161"</f>
        <v>12/16/2021 14:42:38.161</v>
      </c>
      <c r="C50" t="str">
        <f t="shared" si="1"/>
        <v>FFDFD3C0</v>
      </c>
      <c r="D50" t="s">
        <v>133</v>
      </c>
      <c r="E50">
        <v>44</v>
      </c>
      <c r="H50">
        <v>131</v>
      </c>
      <c r="I50" t="s">
        <v>134</v>
      </c>
      <c r="J50" t="s">
        <v>135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"14:42:37.938"</f>
        <v>14:42:37.938</v>
      </c>
      <c r="T50" t="str">
        <f>"14:42:37.438"</f>
        <v>14:42:37.438</v>
      </c>
      <c r="U50" t="str">
        <f t="shared" si="0"/>
        <v>A0F928</v>
      </c>
      <c r="V50">
        <v>0</v>
      </c>
      <c r="W50">
        <v>0</v>
      </c>
      <c r="X50">
        <v>2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1</v>
      </c>
      <c r="AI50" t="s">
        <v>154</v>
      </c>
      <c r="AJ50">
        <v>35.791697999999997</v>
      </c>
      <c r="AK50" t="s">
        <v>155</v>
      </c>
      <c r="AL50">
        <v>-84.012214999999998</v>
      </c>
      <c r="AM50">
        <v>25</v>
      </c>
      <c r="AN50">
        <v>1225</v>
      </c>
      <c r="AO50" t="s">
        <v>118</v>
      </c>
      <c r="AP50">
        <v>-67</v>
      </c>
      <c r="AQ50">
        <v>-118</v>
      </c>
      <c r="AR50">
        <v>1344</v>
      </c>
      <c r="AZ50">
        <v>300</v>
      </c>
      <c r="BA50">
        <v>1</v>
      </c>
      <c r="BB50" t="str">
        <f t="shared" si="2"/>
        <v xml:space="preserve">N162AM  </v>
      </c>
      <c r="BC50">
        <v>1</v>
      </c>
      <c r="BE50">
        <v>0</v>
      </c>
      <c r="BF50">
        <v>0</v>
      </c>
      <c r="BG50">
        <v>0</v>
      </c>
      <c r="BH50">
        <v>1475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"14:42:37.940"</f>
        <v>14:42:37.940</v>
      </c>
      <c r="CJ50">
        <v>2</v>
      </c>
      <c r="CK50">
        <v>2</v>
      </c>
      <c r="CL50">
        <v>0</v>
      </c>
      <c r="CM50">
        <v>2</v>
      </c>
      <c r="CN50">
        <v>0</v>
      </c>
      <c r="CO50">
        <v>4</v>
      </c>
      <c r="CP50" t="s">
        <v>119</v>
      </c>
      <c r="CQ50">
        <v>232</v>
      </c>
      <c r="CR50">
        <v>2</v>
      </c>
      <c r="CW50">
        <v>6020084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"12/16/2021 14:42:38.224"</f>
        <v>12/16/2021 14:42:38.224</v>
      </c>
      <c r="C51" t="str">
        <f t="shared" si="1"/>
        <v>FFDFD3C0</v>
      </c>
      <c r="D51" t="s">
        <v>124</v>
      </c>
      <c r="E51">
        <v>10</v>
      </c>
      <c r="F51">
        <v>1010</v>
      </c>
      <c r="G51" t="s">
        <v>130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"14:42:37.938"</f>
        <v>14:42:37.938</v>
      </c>
      <c r="T51" t="str">
        <f>"14:42:37.438"</f>
        <v>14:42:37.438</v>
      </c>
      <c r="U51" t="str">
        <f t="shared" si="0"/>
        <v>A0F928</v>
      </c>
      <c r="V51">
        <v>0</v>
      </c>
      <c r="W51">
        <v>0</v>
      </c>
      <c r="X51">
        <v>2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1</v>
      </c>
      <c r="AI51" t="s">
        <v>154</v>
      </c>
      <c r="AJ51">
        <v>35.791697999999997</v>
      </c>
      <c r="AK51" t="s">
        <v>155</v>
      </c>
      <c r="AL51">
        <v>-84.012214999999998</v>
      </c>
      <c r="AM51">
        <v>25</v>
      </c>
      <c r="AN51">
        <v>1225</v>
      </c>
      <c r="AO51" t="s">
        <v>118</v>
      </c>
      <c r="AP51">
        <v>-67</v>
      </c>
      <c r="AQ51">
        <v>-118</v>
      </c>
      <c r="AR51">
        <v>1344</v>
      </c>
      <c r="AZ51">
        <v>300</v>
      </c>
      <c r="BA51">
        <v>1</v>
      </c>
      <c r="BB51" t="str">
        <f t="shared" si="2"/>
        <v xml:space="preserve">N162AM  </v>
      </c>
      <c r="BC51">
        <v>1</v>
      </c>
      <c r="BE51">
        <v>0</v>
      </c>
      <c r="BF51">
        <v>0</v>
      </c>
      <c r="BG51">
        <v>0</v>
      </c>
      <c r="BH51">
        <v>1475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"14:42:37.940"</f>
        <v>14:42:37.940</v>
      </c>
      <c r="CJ51">
        <v>2</v>
      </c>
      <c r="CK51">
        <v>2</v>
      </c>
      <c r="CL51">
        <v>0</v>
      </c>
      <c r="CM51">
        <v>2</v>
      </c>
      <c r="CN51">
        <v>0</v>
      </c>
      <c r="CO51">
        <v>4</v>
      </c>
      <c r="CP51" t="s">
        <v>119</v>
      </c>
      <c r="CQ51">
        <v>232</v>
      </c>
      <c r="CR51">
        <v>2</v>
      </c>
      <c r="CW51">
        <v>6020084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"12/16/2021 14:42:39.162"</f>
        <v>12/16/2021 14:42:39.162</v>
      </c>
      <c r="C52" t="str">
        <f t="shared" si="1"/>
        <v>FFDFD3C0</v>
      </c>
      <c r="D52" t="s">
        <v>113</v>
      </c>
      <c r="E52">
        <v>8</v>
      </c>
      <c r="H52">
        <v>176</v>
      </c>
      <c r="I52" t="s">
        <v>114</v>
      </c>
      <c r="J52" t="s">
        <v>115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"14:42:38.914"</f>
        <v>14:42:38.914</v>
      </c>
      <c r="T52" t="str">
        <f>"14:42:38.514"</f>
        <v>14:42:38.514</v>
      </c>
      <c r="U52" t="str">
        <f t="shared" si="0"/>
        <v>A0F928</v>
      </c>
      <c r="V52">
        <v>0</v>
      </c>
      <c r="W52">
        <v>0</v>
      </c>
      <c r="X52">
        <v>2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1</v>
      </c>
      <c r="AI52" t="s">
        <v>156</v>
      </c>
      <c r="AJ52">
        <v>35.791139999999999</v>
      </c>
      <c r="AK52" t="s">
        <v>157</v>
      </c>
      <c r="AL52">
        <v>-84.012557999999999</v>
      </c>
      <c r="AM52">
        <v>25</v>
      </c>
      <c r="AN52">
        <v>1250</v>
      </c>
      <c r="AO52" t="s">
        <v>118</v>
      </c>
      <c r="AP52">
        <v>-59</v>
      </c>
      <c r="AQ52">
        <v>-122</v>
      </c>
      <c r="AR52">
        <v>1472</v>
      </c>
      <c r="AZ52">
        <v>300</v>
      </c>
      <c r="BA52">
        <v>1</v>
      </c>
      <c r="BB52" t="str">
        <f t="shared" si="2"/>
        <v xml:space="preserve">N162AM  </v>
      </c>
      <c r="BC52">
        <v>1</v>
      </c>
      <c r="BE52">
        <v>0</v>
      </c>
      <c r="BF52">
        <v>0</v>
      </c>
      <c r="BG52">
        <v>0</v>
      </c>
      <c r="BH52">
        <v>1475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"14:42:38.919"</f>
        <v>14:42:38.919</v>
      </c>
      <c r="CJ52">
        <v>2</v>
      </c>
      <c r="CK52">
        <v>2</v>
      </c>
      <c r="CL52">
        <v>0</v>
      </c>
      <c r="CM52">
        <v>2</v>
      </c>
      <c r="CN52">
        <v>0</v>
      </c>
      <c r="CO52">
        <v>4</v>
      </c>
      <c r="CP52" t="s">
        <v>119</v>
      </c>
      <c r="CQ52">
        <v>232</v>
      </c>
      <c r="CR52">
        <v>2</v>
      </c>
      <c r="CW52">
        <v>6021658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"12/16/2021 14:42:39.162"</f>
        <v>12/16/2021 14:42:39.162</v>
      </c>
      <c r="C53" t="str">
        <f t="shared" si="1"/>
        <v>FFDFD3C0</v>
      </c>
      <c r="D53" t="s">
        <v>124</v>
      </c>
      <c r="E53">
        <v>10</v>
      </c>
      <c r="F53">
        <v>1010</v>
      </c>
      <c r="G53" t="s">
        <v>130</v>
      </c>
      <c r="J53" t="s">
        <v>125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"14:42:38.914"</f>
        <v>14:42:38.914</v>
      </c>
      <c r="T53" t="str">
        <f>"14:42:38.514"</f>
        <v>14:42:38.514</v>
      </c>
      <c r="U53" t="str">
        <f t="shared" si="0"/>
        <v>A0F928</v>
      </c>
      <c r="V53">
        <v>0</v>
      </c>
      <c r="W53">
        <v>0</v>
      </c>
      <c r="X53">
        <v>2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1</v>
      </c>
      <c r="AI53" t="s">
        <v>156</v>
      </c>
      <c r="AJ53">
        <v>35.791139999999999</v>
      </c>
      <c r="AK53" t="s">
        <v>157</v>
      </c>
      <c r="AL53">
        <v>-84.012557999999999</v>
      </c>
      <c r="AM53">
        <v>25</v>
      </c>
      <c r="AN53">
        <v>1250</v>
      </c>
      <c r="AO53" t="s">
        <v>118</v>
      </c>
      <c r="AP53">
        <v>-59</v>
      </c>
      <c r="AQ53">
        <v>-122</v>
      </c>
      <c r="AR53">
        <v>1472</v>
      </c>
      <c r="AZ53">
        <v>300</v>
      </c>
      <c r="BA53">
        <v>1</v>
      </c>
      <c r="BB53" t="str">
        <f t="shared" si="2"/>
        <v xml:space="preserve">N162AM  </v>
      </c>
      <c r="BC53">
        <v>1</v>
      </c>
      <c r="BE53">
        <v>0</v>
      </c>
      <c r="BF53">
        <v>0</v>
      </c>
      <c r="BG53">
        <v>0</v>
      </c>
      <c r="BH53">
        <v>1475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"14:42:38.919"</f>
        <v>14:42:38.919</v>
      </c>
      <c r="CJ53">
        <v>2</v>
      </c>
      <c r="CK53">
        <v>2</v>
      </c>
      <c r="CL53">
        <v>0</v>
      </c>
      <c r="CM53">
        <v>2</v>
      </c>
      <c r="CN53">
        <v>0</v>
      </c>
      <c r="CO53">
        <v>4</v>
      </c>
      <c r="CP53" t="s">
        <v>119</v>
      </c>
      <c r="CQ53">
        <v>232</v>
      </c>
      <c r="CR53">
        <v>2</v>
      </c>
      <c r="CW53">
        <v>6021658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"12/16/2021 14:42:39.162"</f>
        <v>12/16/2021 14:42:39.162</v>
      </c>
      <c r="C54" t="str">
        <f t="shared" si="1"/>
        <v>FFDFD3C0</v>
      </c>
      <c r="D54" t="s">
        <v>124</v>
      </c>
      <c r="E54">
        <v>5</v>
      </c>
      <c r="F54">
        <v>1005</v>
      </c>
      <c r="G54" t="s">
        <v>114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"14:42:38.914"</f>
        <v>14:42:38.914</v>
      </c>
      <c r="T54" t="str">
        <f>"14:42:38.514"</f>
        <v>14:42:38.514</v>
      </c>
      <c r="U54" t="str">
        <f t="shared" si="0"/>
        <v>A0F928</v>
      </c>
      <c r="V54">
        <v>0</v>
      </c>
      <c r="W54">
        <v>0</v>
      </c>
      <c r="X54">
        <v>2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1</v>
      </c>
      <c r="AI54" t="s">
        <v>156</v>
      </c>
      <c r="AJ54">
        <v>35.791139999999999</v>
      </c>
      <c r="AK54" t="s">
        <v>157</v>
      </c>
      <c r="AL54">
        <v>-84.012557999999999</v>
      </c>
      <c r="AM54">
        <v>25</v>
      </c>
      <c r="AN54">
        <v>1250</v>
      </c>
      <c r="AO54" t="s">
        <v>118</v>
      </c>
      <c r="AP54">
        <v>-59</v>
      </c>
      <c r="AQ54">
        <v>-122</v>
      </c>
      <c r="AR54">
        <v>1472</v>
      </c>
      <c r="AZ54">
        <v>300</v>
      </c>
      <c r="BA54">
        <v>1</v>
      </c>
      <c r="BB54" t="str">
        <f t="shared" si="2"/>
        <v xml:space="preserve">N162AM  </v>
      </c>
      <c r="BC54">
        <v>1</v>
      </c>
      <c r="BE54">
        <v>0</v>
      </c>
      <c r="BF54">
        <v>0</v>
      </c>
      <c r="BG54">
        <v>0</v>
      </c>
      <c r="BH54">
        <v>1475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"14:42:38.919"</f>
        <v>14:42:38.919</v>
      </c>
      <c r="CJ54">
        <v>2</v>
      </c>
      <c r="CK54">
        <v>2</v>
      </c>
      <c r="CL54">
        <v>0</v>
      </c>
      <c r="CM54">
        <v>2</v>
      </c>
      <c r="CN54">
        <v>0</v>
      </c>
      <c r="CO54">
        <v>4</v>
      </c>
      <c r="CP54" t="s">
        <v>119</v>
      </c>
      <c r="CQ54">
        <v>232</v>
      </c>
      <c r="CR54">
        <v>2</v>
      </c>
      <c r="CW54">
        <v>6021658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"12/16/2021 14:42:39.162"</f>
        <v>12/16/2021 14:42:39.162</v>
      </c>
      <c r="C55" t="str">
        <f t="shared" si="1"/>
        <v>FFDFD3C0</v>
      </c>
      <c r="D55" t="s">
        <v>133</v>
      </c>
      <c r="E55">
        <v>44</v>
      </c>
      <c r="H55">
        <v>131</v>
      </c>
      <c r="I55" t="s">
        <v>134</v>
      </c>
      <c r="J55" t="s">
        <v>135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"14:42:38.914"</f>
        <v>14:42:38.914</v>
      </c>
      <c r="T55" t="str">
        <f>"14:42:38.514"</f>
        <v>14:42:38.514</v>
      </c>
      <c r="U55" t="str">
        <f t="shared" si="0"/>
        <v>A0F928</v>
      </c>
      <c r="V55">
        <v>0</v>
      </c>
      <c r="W55">
        <v>0</v>
      </c>
      <c r="X55">
        <v>2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1</v>
      </c>
      <c r="AI55" t="s">
        <v>156</v>
      </c>
      <c r="AJ55">
        <v>35.791139999999999</v>
      </c>
      <c r="AK55" t="s">
        <v>157</v>
      </c>
      <c r="AL55">
        <v>-84.012557999999999</v>
      </c>
      <c r="AM55">
        <v>25</v>
      </c>
      <c r="AN55">
        <v>1250</v>
      </c>
      <c r="AO55" t="s">
        <v>118</v>
      </c>
      <c r="AP55">
        <v>-59</v>
      </c>
      <c r="AQ55">
        <v>-122</v>
      </c>
      <c r="AR55">
        <v>1472</v>
      </c>
      <c r="AZ55">
        <v>300</v>
      </c>
      <c r="BA55">
        <v>1</v>
      </c>
      <c r="BB55" t="str">
        <f t="shared" si="2"/>
        <v xml:space="preserve">N162AM  </v>
      </c>
      <c r="BC55">
        <v>1</v>
      </c>
      <c r="BE55">
        <v>0</v>
      </c>
      <c r="BF55">
        <v>0</v>
      </c>
      <c r="BG55">
        <v>0</v>
      </c>
      <c r="BH55">
        <v>1475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"14:42:38.919"</f>
        <v>14:42:38.919</v>
      </c>
      <c r="CJ55">
        <v>2</v>
      </c>
      <c r="CK55">
        <v>2</v>
      </c>
      <c r="CL55">
        <v>0</v>
      </c>
      <c r="CM55">
        <v>2</v>
      </c>
      <c r="CN55">
        <v>0</v>
      </c>
      <c r="CO55">
        <v>4</v>
      </c>
      <c r="CP55" t="s">
        <v>119</v>
      </c>
      <c r="CQ55">
        <v>232</v>
      </c>
      <c r="CR55">
        <v>2</v>
      </c>
      <c r="CW55">
        <v>6021658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"12/16/2021 14:42:40.255"</f>
        <v>12/16/2021 14:42:40.255</v>
      </c>
      <c r="C56" t="str">
        <f t="shared" si="1"/>
        <v>FFDFD3C0</v>
      </c>
      <c r="D56" t="s">
        <v>133</v>
      </c>
      <c r="E56">
        <v>44</v>
      </c>
      <c r="H56">
        <v>131</v>
      </c>
      <c r="I56" t="s">
        <v>134</v>
      </c>
      <c r="J56" t="s">
        <v>135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"14:42:40.023"</f>
        <v>14:42:40.023</v>
      </c>
      <c r="T56" t="str">
        <f>"14:42:38.923"</f>
        <v>14:42:38.923</v>
      </c>
      <c r="U56" t="str">
        <f t="shared" si="0"/>
        <v>A0F928</v>
      </c>
      <c r="V56">
        <v>0</v>
      </c>
      <c r="W56">
        <v>0</v>
      </c>
      <c r="X56">
        <v>2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3</v>
      </c>
      <c r="AG56">
        <v>2</v>
      </c>
      <c r="AH56">
        <v>1</v>
      </c>
      <c r="AI56" t="s">
        <v>158</v>
      </c>
      <c r="AJ56">
        <v>35.790474000000003</v>
      </c>
      <c r="AK56" t="s">
        <v>159</v>
      </c>
      <c r="AL56">
        <v>-84.012859000000006</v>
      </c>
      <c r="AM56">
        <v>25</v>
      </c>
      <c r="AN56">
        <v>1275</v>
      </c>
      <c r="AO56" t="s">
        <v>118</v>
      </c>
      <c r="AP56">
        <v>-57</v>
      </c>
      <c r="AQ56">
        <v>-123</v>
      </c>
      <c r="AR56">
        <v>1472</v>
      </c>
      <c r="AZ56">
        <v>300</v>
      </c>
      <c r="BA56">
        <v>1</v>
      </c>
      <c r="BB56" t="str">
        <f t="shared" si="2"/>
        <v xml:space="preserve">N162AM  </v>
      </c>
      <c r="BC56">
        <v>1</v>
      </c>
      <c r="BE56">
        <v>0</v>
      </c>
      <c r="BF56">
        <v>0</v>
      </c>
      <c r="BG56">
        <v>0</v>
      </c>
      <c r="BH56">
        <v>1525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"14:42:40.026"</f>
        <v>14:42:40.026</v>
      </c>
      <c r="CJ56">
        <v>3</v>
      </c>
      <c r="CK56">
        <v>2</v>
      </c>
      <c r="CL56">
        <v>0</v>
      </c>
      <c r="CM56">
        <v>2</v>
      </c>
      <c r="CN56">
        <v>0</v>
      </c>
      <c r="CO56">
        <v>4</v>
      </c>
      <c r="CP56" t="s">
        <v>119</v>
      </c>
      <c r="CQ56">
        <v>232</v>
      </c>
      <c r="CR56">
        <v>1</v>
      </c>
      <c r="CW56">
        <v>14821713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"12/16/2021 14:42:40.255"</f>
        <v>12/16/2021 14:42:40.255</v>
      </c>
      <c r="C57" t="str">
        <f t="shared" si="1"/>
        <v>FFDFD3C0</v>
      </c>
      <c r="D57" t="s">
        <v>113</v>
      </c>
      <c r="E57">
        <v>8</v>
      </c>
      <c r="H57">
        <v>176</v>
      </c>
      <c r="I57" t="s">
        <v>114</v>
      </c>
      <c r="J57" t="s">
        <v>115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"14:42:40.023"</f>
        <v>14:42:40.023</v>
      </c>
      <c r="T57" t="str">
        <f>"14:42:38.923"</f>
        <v>14:42:38.923</v>
      </c>
      <c r="U57" t="str">
        <f t="shared" si="0"/>
        <v>A0F928</v>
      </c>
      <c r="V57">
        <v>0</v>
      </c>
      <c r="W57">
        <v>0</v>
      </c>
      <c r="X57">
        <v>2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3</v>
      </c>
      <c r="AG57">
        <v>2</v>
      </c>
      <c r="AH57">
        <v>1</v>
      </c>
      <c r="AI57" t="s">
        <v>158</v>
      </c>
      <c r="AJ57">
        <v>35.790474000000003</v>
      </c>
      <c r="AK57" t="s">
        <v>159</v>
      </c>
      <c r="AL57">
        <v>-84.012859000000006</v>
      </c>
      <c r="AM57">
        <v>25</v>
      </c>
      <c r="AN57">
        <v>1275</v>
      </c>
      <c r="AO57" t="s">
        <v>118</v>
      </c>
      <c r="AP57">
        <v>-57</v>
      </c>
      <c r="AQ57">
        <v>-123</v>
      </c>
      <c r="AR57">
        <v>1472</v>
      </c>
      <c r="AZ57">
        <v>300</v>
      </c>
      <c r="BA57">
        <v>1</v>
      </c>
      <c r="BB57" t="str">
        <f t="shared" si="2"/>
        <v xml:space="preserve">N162AM  </v>
      </c>
      <c r="BC57">
        <v>1</v>
      </c>
      <c r="BE57">
        <v>0</v>
      </c>
      <c r="BF57">
        <v>0</v>
      </c>
      <c r="BG57">
        <v>0</v>
      </c>
      <c r="BH57">
        <v>1525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"14:42:40.026"</f>
        <v>14:42:40.026</v>
      </c>
      <c r="CJ57">
        <v>3</v>
      </c>
      <c r="CK57">
        <v>2</v>
      </c>
      <c r="CL57">
        <v>0</v>
      </c>
      <c r="CM57">
        <v>2</v>
      </c>
      <c r="CN57">
        <v>0</v>
      </c>
      <c r="CO57">
        <v>4</v>
      </c>
      <c r="CP57" t="s">
        <v>119</v>
      </c>
      <c r="CQ57">
        <v>232</v>
      </c>
      <c r="CR57">
        <v>1</v>
      </c>
      <c r="CW57">
        <v>14821713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"12/16/2021 14:42:40.255"</f>
        <v>12/16/2021 14:42:40.255</v>
      </c>
      <c r="C58" t="str">
        <f t="shared" si="1"/>
        <v>FFDFD3C0</v>
      </c>
      <c r="D58" t="s">
        <v>124</v>
      </c>
      <c r="E58">
        <v>10</v>
      </c>
      <c r="F58">
        <v>1010</v>
      </c>
      <c r="G58" t="s">
        <v>130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"14:42:40.023"</f>
        <v>14:42:40.023</v>
      </c>
      <c r="T58" t="str">
        <f>"14:42:38.923"</f>
        <v>14:42:38.923</v>
      </c>
      <c r="U58" t="str">
        <f t="shared" si="0"/>
        <v>A0F928</v>
      </c>
      <c r="V58">
        <v>0</v>
      </c>
      <c r="W58">
        <v>0</v>
      </c>
      <c r="X58">
        <v>2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1</v>
      </c>
      <c r="AI58" t="s">
        <v>158</v>
      </c>
      <c r="AJ58">
        <v>35.790474000000003</v>
      </c>
      <c r="AK58" t="s">
        <v>159</v>
      </c>
      <c r="AL58">
        <v>-84.012859000000006</v>
      </c>
      <c r="AM58">
        <v>25</v>
      </c>
      <c r="AN58">
        <v>1275</v>
      </c>
      <c r="AO58" t="s">
        <v>118</v>
      </c>
      <c r="AP58">
        <v>-57</v>
      </c>
      <c r="AQ58">
        <v>-123</v>
      </c>
      <c r="AR58">
        <v>1472</v>
      </c>
      <c r="AZ58">
        <v>300</v>
      </c>
      <c r="BA58">
        <v>1</v>
      </c>
      <c r="BB58" t="str">
        <f t="shared" si="2"/>
        <v xml:space="preserve">N162AM  </v>
      </c>
      <c r="BC58">
        <v>1</v>
      </c>
      <c r="BE58">
        <v>0</v>
      </c>
      <c r="BF58">
        <v>0</v>
      </c>
      <c r="BG58">
        <v>0</v>
      </c>
      <c r="BH58">
        <v>1525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"14:42:40.026"</f>
        <v>14:42:40.026</v>
      </c>
      <c r="CJ58">
        <v>2</v>
      </c>
      <c r="CK58">
        <v>2</v>
      </c>
      <c r="CL58">
        <v>0</v>
      </c>
      <c r="CM58">
        <v>2</v>
      </c>
      <c r="CN58">
        <v>0</v>
      </c>
      <c r="CO58">
        <v>4</v>
      </c>
      <c r="CP58" t="s">
        <v>119</v>
      </c>
      <c r="CQ58">
        <v>232</v>
      </c>
      <c r="CR58">
        <v>1</v>
      </c>
      <c r="CW58">
        <v>14821713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"12/16/2021 14:42:40.255"</f>
        <v>12/16/2021 14:42:40.255</v>
      </c>
      <c r="C59" t="str">
        <f t="shared" si="1"/>
        <v>FFDFD3C0</v>
      </c>
      <c r="D59" t="s">
        <v>124</v>
      </c>
      <c r="E59">
        <v>5</v>
      </c>
      <c r="F59">
        <v>1005</v>
      </c>
      <c r="G59" t="s">
        <v>114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"14:42:40.023"</f>
        <v>14:42:40.023</v>
      </c>
      <c r="T59" t="str">
        <f>"14:42:38.923"</f>
        <v>14:42:38.923</v>
      </c>
      <c r="U59" t="str">
        <f t="shared" si="0"/>
        <v>A0F928</v>
      </c>
      <c r="V59">
        <v>0</v>
      </c>
      <c r="W59">
        <v>0</v>
      </c>
      <c r="X59">
        <v>2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1</v>
      </c>
      <c r="AI59" t="s">
        <v>158</v>
      </c>
      <c r="AJ59">
        <v>35.790474000000003</v>
      </c>
      <c r="AK59" t="s">
        <v>159</v>
      </c>
      <c r="AL59">
        <v>-84.012859000000006</v>
      </c>
      <c r="AM59">
        <v>25</v>
      </c>
      <c r="AN59">
        <v>1275</v>
      </c>
      <c r="AO59" t="s">
        <v>118</v>
      </c>
      <c r="AP59">
        <v>-57</v>
      </c>
      <c r="AQ59">
        <v>-123</v>
      </c>
      <c r="AR59">
        <v>1472</v>
      </c>
      <c r="AZ59">
        <v>300</v>
      </c>
      <c r="BA59">
        <v>1</v>
      </c>
      <c r="BB59" t="str">
        <f t="shared" si="2"/>
        <v xml:space="preserve">N162AM  </v>
      </c>
      <c r="BC59">
        <v>1</v>
      </c>
      <c r="BE59">
        <v>0</v>
      </c>
      <c r="BF59">
        <v>0</v>
      </c>
      <c r="BG59">
        <v>0</v>
      </c>
      <c r="BH59">
        <v>1525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"14:42:40.026"</f>
        <v>14:42:40.026</v>
      </c>
      <c r="CJ59">
        <v>2</v>
      </c>
      <c r="CK59">
        <v>2</v>
      </c>
      <c r="CL59">
        <v>0</v>
      </c>
      <c r="CM59">
        <v>2</v>
      </c>
      <c r="CN59">
        <v>0</v>
      </c>
      <c r="CO59">
        <v>4</v>
      </c>
      <c r="CP59" t="s">
        <v>119</v>
      </c>
      <c r="CQ59">
        <v>232</v>
      </c>
      <c r="CR59">
        <v>1</v>
      </c>
      <c r="CW59">
        <v>14821713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"12/16/2021 14:42:41.114"</f>
        <v>12/16/2021 14:42:41.114</v>
      </c>
      <c r="C60" t="str">
        <f t="shared" si="1"/>
        <v>FFDFD3C0</v>
      </c>
      <c r="D60" t="s">
        <v>124</v>
      </c>
      <c r="E60">
        <v>5</v>
      </c>
      <c r="F60">
        <v>1005</v>
      </c>
      <c r="G60" t="s">
        <v>114</v>
      </c>
      <c r="J60" t="s">
        <v>125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"14:42:40.922"</f>
        <v>14:42:40.922</v>
      </c>
      <c r="T60" t="str">
        <f>"14:42:40.522"</f>
        <v>14:42:40.522</v>
      </c>
      <c r="U60" t="str">
        <f t="shared" si="0"/>
        <v>A0F928</v>
      </c>
      <c r="V60">
        <v>0</v>
      </c>
      <c r="W60">
        <v>0</v>
      </c>
      <c r="X60">
        <v>2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3</v>
      </c>
      <c r="AG60">
        <v>2</v>
      </c>
      <c r="AH60">
        <v>1</v>
      </c>
      <c r="AI60" t="s">
        <v>160</v>
      </c>
      <c r="AJ60">
        <v>35.789959000000003</v>
      </c>
      <c r="AK60" t="s">
        <v>161</v>
      </c>
      <c r="AL60">
        <v>-84.013095000000007</v>
      </c>
      <c r="AM60">
        <v>25</v>
      </c>
      <c r="AN60">
        <v>1300</v>
      </c>
      <c r="AO60" t="s">
        <v>118</v>
      </c>
      <c r="AP60">
        <v>-47</v>
      </c>
      <c r="AQ60">
        <v>-126</v>
      </c>
      <c r="AR60">
        <v>1408</v>
      </c>
      <c r="AZ60">
        <v>300</v>
      </c>
      <c r="BA60">
        <v>1</v>
      </c>
      <c r="BB60" t="str">
        <f t="shared" si="2"/>
        <v xml:space="preserve">N162AM  </v>
      </c>
      <c r="BC60">
        <v>1</v>
      </c>
      <c r="BE60">
        <v>0</v>
      </c>
      <c r="BF60">
        <v>0</v>
      </c>
      <c r="BG60">
        <v>0</v>
      </c>
      <c r="BH60">
        <v>1550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"14:42:40.927"</f>
        <v>14:42:40.927</v>
      </c>
      <c r="CJ60">
        <v>3</v>
      </c>
      <c r="CK60">
        <v>2</v>
      </c>
      <c r="CL60">
        <v>0</v>
      </c>
      <c r="CM60">
        <v>2</v>
      </c>
      <c r="CN60">
        <v>0</v>
      </c>
      <c r="CO60">
        <v>4</v>
      </c>
      <c r="CP60" t="s">
        <v>119</v>
      </c>
      <c r="CQ60">
        <v>232</v>
      </c>
      <c r="CR60">
        <v>2</v>
      </c>
      <c r="CW60">
        <v>6024634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"12/16/2021 14:42:41.161"</f>
        <v>12/16/2021 14:42:41.161</v>
      </c>
      <c r="C61" t="str">
        <f t="shared" si="1"/>
        <v>FFDFD3C0</v>
      </c>
      <c r="D61" t="s">
        <v>133</v>
      </c>
      <c r="E61">
        <v>44</v>
      </c>
      <c r="H61">
        <v>131</v>
      </c>
      <c r="I61" t="s">
        <v>134</v>
      </c>
      <c r="J61" t="s">
        <v>135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"14:42:40.922"</f>
        <v>14:42:40.922</v>
      </c>
      <c r="T61" t="str">
        <f>"14:42:40.522"</f>
        <v>14:42:40.522</v>
      </c>
      <c r="U61" t="str">
        <f t="shared" si="0"/>
        <v>A0F928</v>
      </c>
      <c r="V61">
        <v>0</v>
      </c>
      <c r="W61">
        <v>0</v>
      </c>
      <c r="X61">
        <v>2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3</v>
      </c>
      <c r="AG61">
        <v>2</v>
      </c>
      <c r="AH61">
        <v>1</v>
      </c>
      <c r="AI61" t="s">
        <v>160</v>
      </c>
      <c r="AJ61">
        <v>35.789959000000003</v>
      </c>
      <c r="AK61" t="s">
        <v>161</v>
      </c>
      <c r="AL61">
        <v>-84.013095000000007</v>
      </c>
      <c r="AM61">
        <v>25</v>
      </c>
      <c r="AN61">
        <v>1300</v>
      </c>
      <c r="AO61" t="s">
        <v>118</v>
      </c>
      <c r="AP61">
        <v>-47</v>
      </c>
      <c r="AQ61">
        <v>-126</v>
      </c>
      <c r="AR61">
        <v>1408</v>
      </c>
      <c r="AZ61">
        <v>300</v>
      </c>
      <c r="BA61">
        <v>1</v>
      </c>
      <c r="BB61" t="str">
        <f t="shared" si="2"/>
        <v xml:space="preserve">N162AM  </v>
      </c>
      <c r="BC61">
        <v>1</v>
      </c>
      <c r="BE61">
        <v>0</v>
      </c>
      <c r="BF61">
        <v>0</v>
      </c>
      <c r="BG61">
        <v>0</v>
      </c>
      <c r="BH61">
        <v>1550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"14:42:40.927"</f>
        <v>14:42:40.927</v>
      </c>
      <c r="CJ61">
        <v>3</v>
      </c>
      <c r="CK61">
        <v>2</v>
      </c>
      <c r="CL61">
        <v>0</v>
      </c>
      <c r="CM61">
        <v>2</v>
      </c>
      <c r="CN61">
        <v>0</v>
      </c>
      <c r="CO61">
        <v>4</v>
      </c>
      <c r="CP61" t="s">
        <v>119</v>
      </c>
      <c r="CQ61">
        <v>232</v>
      </c>
      <c r="CR61">
        <v>2</v>
      </c>
      <c r="CW61">
        <v>6024634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"12/16/2021 14:42:41.161"</f>
        <v>12/16/2021 14:42:41.161</v>
      </c>
      <c r="C62" t="str">
        <f t="shared" si="1"/>
        <v>FFDFD3C0</v>
      </c>
      <c r="D62" t="s">
        <v>124</v>
      </c>
      <c r="E62">
        <v>10</v>
      </c>
      <c r="F62">
        <v>1010</v>
      </c>
      <c r="G62" t="s">
        <v>130</v>
      </c>
      <c r="J62" t="s">
        <v>125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"14:42:40.922"</f>
        <v>14:42:40.922</v>
      </c>
      <c r="T62" t="str">
        <f>"14:42:40.522"</f>
        <v>14:42:40.522</v>
      </c>
      <c r="U62" t="str">
        <f t="shared" si="0"/>
        <v>A0F928</v>
      </c>
      <c r="V62">
        <v>0</v>
      </c>
      <c r="W62">
        <v>0</v>
      </c>
      <c r="X62">
        <v>2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2</v>
      </c>
      <c r="AH62">
        <v>1</v>
      </c>
      <c r="AI62" t="s">
        <v>160</v>
      </c>
      <c r="AJ62">
        <v>35.789959000000003</v>
      </c>
      <c r="AK62" t="s">
        <v>161</v>
      </c>
      <c r="AL62">
        <v>-84.013095000000007</v>
      </c>
      <c r="AM62">
        <v>25</v>
      </c>
      <c r="AN62">
        <v>1300</v>
      </c>
      <c r="AO62" t="s">
        <v>118</v>
      </c>
      <c r="AP62">
        <v>-47</v>
      </c>
      <c r="AQ62">
        <v>-126</v>
      </c>
      <c r="AR62">
        <v>1408</v>
      </c>
      <c r="AZ62">
        <v>300</v>
      </c>
      <c r="BA62">
        <v>1</v>
      </c>
      <c r="BB62" t="str">
        <f t="shared" si="2"/>
        <v xml:space="preserve">N162AM  </v>
      </c>
      <c r="BC62">
        <v>1</v>
      </c>
      <c r="BE62">
        <v>0</v>
      </c>
      <c r="BF62">
        <v>0</v>
      </c>
      <c r="BG62">
        <v>0</v>
      </c>
      <c r="BH62">
        <v>1550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"14:42:40.927"</f>
        <v>14:42:40.927</v>
      </c>
      <c r="CJ62">
        <v>2</v>
      </c>
      <c r="CK62">
        <v>2</v>
      </c>
      <c r="CL62">
        <v>0</v>
      </c>
      <c r="CM62">
        <v>2</v>
      </c>
      <c r="CN62">
        <v>0</v>
      </c>
      <c r="CO62">
        <v>4</v>
      </c>
      <c r="CP62" t="s">
        <v>119</v>
      </c>
      <c r="CQ62">
        <v>232</v>
      </c>
      <c r="CR62">
        <v>2</v>
      </c>
      <c r="CW62">
        <v>6024634</v>
      </c>
      <c r="CY62">
        <v>0</v>
      </c>
      <c r="CZ62">
        <v>0</v>
      </c>
      <c r="DA62">
        <v>1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"12/16/2021 14:42:41.161"</f>
        <v>12/16/2021 14:42:41.161</v>
      </c>
      <c r="C63" t="str">
        <f t="shared" si="1"/>
        <v>FFDFD3C0</v>
      </c>
      <c r="D63" t="s">
        <v>113</v>
      </c>
      <c r="E63">
        <v>8</v>
      </c>
      <c r="H63">
        <v>176</v>
      </c>
      <c r="I63" t="s">
        <v>114</v>
      </c>
      <c r="J63" t="s">
        <v>115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"14:42:40.922"</f>
        <v>14:42:40.922</v>
      </c>
      <c r="T63" t="str">
        <f>"14:42:40.522"</f>
        <v>14:42:40.522</v>
      </c>
      <c r="U63" t="str">
        <f t="shared" si="0"/>
        <v>A0F928</v>
      </c>
      <c r="V63">
        <v>0</v>
      </c>
      <c r="W63">
        <v>0</v>
      </c>
      <c r="X63">
        <v>2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3</v>
      </c>
      <c r="AG63">
        <v>2</v>
      </c>
      <c r="AH63">
        <v>1</v>
      </c>
      <c r="AI63" t="s">
        <v>160</v>
      </c>
      <c r="AJ63">
        <v>35.789959000000003</v>
      </c>
      <c r="AK63" t="s">
        <v>161</v>
      </c>
      <c r="AL63">
        <v>-84.013095000000007</v>
      </c>
      <c r="AM63">
        <v>25</v>
      </c>
      <c r="AN63">
        <v>1300</v>
      </c>
      <c r="AO63" t="s">
        <v>118</v>
      </c>
      <c r="AP63">
        <v>-47</v>
      </c>
      <c r="AQ63">
        <v>-126</v>
      </c>
      <c r="AR63">
        <v>1408</v>
      </c>
      <c r="AZ63">
        <v>300</v>
      </c>
      <c r="BA63">
        <v>1</v>
      </c>
      <c r="BB63" t="str">
        <f t="shared" si="2"/>
        <v xml:space="preserve">N162AM  </v>
      </c>
      <c r="BC63">
        <v>1</v>
      </c>
      <c r="BE63">
        <v>0</v>
      </c>
      <c r="BF63">
        <v>0</v>
      </c>
      <c r="BG63">
        <v>0</v>
      </c>
      <c r="BH63">
        <v>1550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"14:42:40.927"</f>
        <v>14:42:40.927</v>
      </c>
      <c r="CJ63">
        <v>3</v>
      </c>
      <c r="CK63">
        <v>2</v>
      </c>
      <c r="CL63">
        <v>0</v>
      </c>
      <c r="CM63">
        <v>2</v>
      </c>
      <c r="CN63">
        <v>0</v>
      </c>
      <c r="CO63">
        <v>4</v>
      </c>
      <c r="CP63" t="s">
        <v>119</v>
      </c>
      <c r="CQ63">
        <v>232</v>
      </c>
      <c r="CR63">
        <v>2</v>
      </c>
      <c r="CW63">
        <v>6024634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1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"12/16/2021 14:42:42.099"</f>
        <v>12/16/2021 14:42:42.099</v>
      </c>
      <c r="C64" t="str">
        <f t="shared" si="1"/>
        <v>FFDFD3C0</v>
      </c>
      <c r="D64" t="s">
        <v>133</v>
      </c>
      <c r="E64">
        <v>44</v>
      </c>
      <c r="H64">
        <v>131</v>
      </c>
      <c r="I64" t="s">
        <v>134</v>
      </c>
      <c r="J64" t="s">
        <v>135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"14:42:41.922"</f>
        <v>14:42:41.922</v>
      </c>
      <c r="T64" t="str">
        <f>"14:42:41.522"</f>
        <v>14:42:41.522</v>
      </c>
      <c r="U64" t="str">
        <f t="shared" si="0"/>
        <v>A0F928</v>
      </c>
      <c r="V64">
        <v>0</v>
      </c>
      <c r="W64">
        <v>0</v>
      </c>
      <c r="X64">
        <v>2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3</v>
      </c>
      <c r="AG64">
        <v>2</v>
      </c>
      <c r="AH64">
        <v>1</v>
      </c>
      <c r="AI64" t="s">
        <v>162</v>
      </c>
      <c r="AJ64">
        <v>35.789358999999997</v>
      </c>
      <c r="AK64" t="s">
        <v>163</v>
      </c>
      <c r="AL64">
        <v>-84.013330999999994</v>
      </c>
      <c r="AM64">
        <v>25</v>
      </c>
      <c r="AN64">
        <v>1325</v>
      </c>
      <c r="AO64" t="s">
        <v>118</v>
      </c>
      <c r="AP64">
        <v>-41</v>
      </c>
      <c r="AQ64">
        <v>-128</v>
      </c>
      <c r="AR64">
        <v>1152</v>
      </c>
      <c r="AZ64">
        <v>300</v>
      </c>
      <c r="BA64">
        <v>1</v>
      </c>
      <c r="BB64" t="str">
        <f t="shared" si="2"/>
        <v xml:space="preserve">N162AM  </v>
      </c>
      <c r="BC64">
        <v>1</v>
      </c>
      <c r="BE64">
        <v>0</v>
      </c>
      <c r="BF64">
        <v>0</v>
      </c>
      <c r="BG64">
        <v>0</v>
      </c>
      <c r="BH64">
        <v>1575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"14:42:41.927"</f>
        <v>14:42:41.927</v>
      </c>
      <c r="CJ64">
        <v>3</v>
      </c>
      <c r="CK64">
        <v>2</v>
      </c>
      <c r="CL64">
        <v>0</v>
      </c>
      <c r="CM64">
        <v>2</v>
      </c>
      <c r="CN64">
        <v>0</v>
      </c>
      <c r="CO64">
        <v>4</v>
      </c>
      <c r="CP64" t="s">
        <v>119</v>
      </c>
      <c r="CQ64">
        <v>232</v>
      </c>
      <c r="CR64">
        <v>2</v>
      </c>
      <c r="CW64">
        <v>6026101</v>
      </c>
      <c r="CY64">
        <v>1</v>
      </c>
      <c r="CZ64">
        <v>0</v>
      </c>
      <c r="DA64">
        <v>0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"12/16/2021 14:42:42.114"</f>
        <v>12/16/2021 14:42:42.114</v>
      </c>
      <c r="C65" t="str">
        <f t="shared" si="1"/>
        <v>FFDFD3C0</v>
      </c>
      <c r="D65" t="s">
        <v>124</v>
      </c>
      <c r="E65">
        <v>10</v>
      </c>
      <c r="F65">
        <v>1010</v>
      </c>
      <c r="G65" t="s">
        <v>130</v>
      </c>
      <c r="J65" t="s">
        <v>125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"14:42:41.922"</f>
        <v>14:42:41.922</v>
      </c>
      <c r="T65" t="str">
        <f>"14:42:41.522"</f>
        <v>14:42:41.522</v>
      </c>
      <c r="U65" t="str">
        <f t="shared" si="0"/>
        <v>A0F928</v>
      </c>
      <c r="V65">
        <v>0</v>
      </c>
      <c r="W65">
        <v>0</v>
      </c>
      <c r="X65">
        <v>2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2</v>
      </c>
      <c r="AH65">
        <v>1</v>
      </c>
      <c r="AI65" t="s">
        <v>162</v>
      </c>
      <c r="AJ65">
        <v>35.789358999999997</v>
      </c>
      <c r="AK65" t="s">
        <v>163</v>
      </c>
      <c r="AL65">
        <v>-84.013330999999994</v>
      </c>
      <c r="AM65">
        <v>25</v>
      </c>
      <c r="AN65">
        <v>1325</v>
      </c>
      <c r="AO65" t="s">
        <v>118</v>
      </c>
      <c r="AP65">
        <v>-41</v>
      </c>
      <c r="AQ65">
        <v>-128</v>
      </c>
      <c r="AR65">
        <v>1152</v>
      </c>
      <c r="AZ65">
        <v>300</v>
      </c>
      <c r="BA65">
        <v>1</v>
      </c>
      <c r="BB65" t="str">
        <f t="shared" si="2"/>
        <v xml:space="preserve">N162AM  </v>
      </c>
      <c r="BC65">
        <v>1</v>
      </c>
      <c r="BE65">
        <v>0</v>
      </c>
      <c r="BF65">
        <v>0</v>
      </c>
      <c r="BG65">
        <v>0</v>
      </c>
      <c r="BH65">
        <v>1575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"14:42:41.927"</f>
        <v>14:42:41.927</v>
      </c>
      <c r="CJ65">
        <v>2</v>
      </c>
      <c r="CK65">
        <v>2</v>
      </c>
      <c r="CL65">
        <v>0</v>
      </c>
      <c r="CM65">
        <v>2</v>
      </c>
      <c r="CN65">
        <v>0</v>
      </c>
      <c r="CO65">
        <v>4</v>
      </c>
      <c r="CP65" t="s">
        <v>119</v>
      </c>
      <c r="CQ65">
        <v>232</v>
      </c>
      <c r="CR65">
        <v>2</v>
      </c>
      <c r="CW65">
        <v>6026101</v>
      </c>
      <c r="CY65">
        <v>1</v>
      </c>
      <c r="CZ65">
        <v>0</v>
      </c>
      <c r="DA65">
        <v>1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"12/16/2021 14:42:42.130"</f>
        <v>12/16/2021 14:42:42.130</v>
      </c>
      <c r="C66" t="str">
        <f t="shared" si="1"/>
        <v>FFDFD3C0</v>
      </c>
      <c r="D66" t="s">
        <v>124</v>
      </c>
      <c r="E66">
        <v>5</v>
      </c>
      <c r="F66">
        <v>1005</v>
      </c>
      <c r="G66" t="s">
        <v>114</v>
      </c>
      <c r="J66" t="s">
        <v>125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"14:42:41.922"</f>
        <v>14:42:41.922</v>
      </c>
      <c r="T66" t="str">
        <f>"14:42:41.522"</f>
        <v>14:42:41.522</v>
      </c>
      <c r="U66" t="str">
        <f t="shared" ref="U66:U129" si="3">"A0F928"</f>
        <v>A0F928</v>
      </c>
      <c r="V66">
        <v>0</v>
      </c>
      <c r="W66">
        <v>0</v>
      </c>
      <c r="X66">
        <v>2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3</v>
      </c>
      <c r="AG66">
        <v>2</v>
      </c>
      <c r="AH66">
        <v>1</v>
      </c>
      <c r="AI66" t="s">
        <v>162</v>
      </c>
      <c r="AJ66">
        <v>35.789358999999997</v>
      </c>
      <c r="AK66" t="s">
        <v>163</v>
      </c>
      <c r="AL66">
        <v>-84.013330999999994</v>
      </c>
      <c r="AM66">
        <v>25</v>
      </c>
      <c r="AN66">
        <v>1325</v>
      </c>
      <c r="AO66" t="s">
        <v>118</v>
      </c>
      <c r="AP66">
        <v>-41</v>
      </c>
      <c r="AQ66">
        <v>-128</v>
      </c>
      <c r="AR66">
        <v>1152</v>
      </c>
      <c r="AZ66">
        <v>300</v>
      </c>
      <c r="BA66">
        <v>1</v>
      </c>
      <c r="BB66" t="str">
        <f t="shared" si="2"/>
        <v xml:space="preserve">N162AM  </v>
      </c>
      <c r="BC66">
        <v>1</v>
      </c>
      <c r="BE66">
        <v>0</v>
      </c>
      <c r="BF66">
        <v>0</v>
      </c>
      <c r="BG66">
        <v>0</v>
      </c>
      <c r="BH66">
        <v>1575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"14:42:41.927"</f>
        <v>14:42:41.927</v>
      </c>
      <c r="CJ66">
        <v>3</v>
      </c>
      <c r="CK66">
        <v>2</v>
      </c>
      <c r="CL66">
        <v>0</v>
      </c>
      <c r="CM66">
        <v>2</v>
      </c>
      <c r="CN66">
        <v>0</v>
      </c>
      <c r="CO66">
        <v>4</v>
      </c>
      <c r="CP66" t="s">
        <v>119</v>
      </c>
      <c r="CQ66">
        <v>232</v>
      </c>
      <c r="CR66">
        <v>2</v>
      </c>
      <c r="CW66">
        <v>6026101</v>
      </c>
      <c r="CY66">
        <v>1</v>
      </c>
      <c r="CZ66">
        <v>0</v>
      </c>
      <c r="DA66">
        <v>1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"12/16/2021 14:42:42.130"</f>
        <v>12/16/2021 14:42:42.130</v>
      </c>
      <c r="C67" t="str">
        <f t="shared" si="1"/>
        <v>FFDFD3C0</v>
      </c>
      <c r="D67" t="s">
        <v>113</v>
      </c>
      <c r="E67">
        <v>8</v>
      </c>
      <c r="H67">
        <v>176</v>
      </c>
      <c r="I67" t="s">
        <v>114</v>
      </c>
      <c r="J67" t="s">
        <v>115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"14:42:41.922"</f>
        <v>14:42:41.922</v>
      </c>
      <c r="T67" t="str">
        <f>"14:42:41.522"</f>
        <v>14:42:41.522</v>
      </c>
      <c r="U67" t="str">
        <f t="shared" si="3"/>
        <v>A0F928</v>
      </c>
      <c r="V67">
        <v>0</v>
      </c>
      <c r="W67">
        <v>0</v>
      </c>
      <c r="X67">
        <v>2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3</v>
      </c>
      <c r="AG67">
        <v>2</v>
      </c>
      <c r="AH67">
        <v>1</v>
      </c>
      <c r="AI67" t="s">
        <v>162</v>
      </c>
      <c r="AJ67">
        <v>35.789358999999997</v>
      </c>
      <c r="AK67" t="s">
        <v>163</v>
      </c>
      <c r="AL67">
        <v>-84.013330999999994</v>
      </c>
      <c r="AM67">
        <v>25</v>
      </c>
      <c r="AN67">
        <v>1325</v>
      </c>
      <c r="AO67" t="s">
        <v>118</v>
      </c>
      <c r="AP67">
        <v>-41</v>
      </c>
      <c r="AQ67">
        <v>-128</v>
      </c>
      <c r="AR67">
        <v>1152</v>
      </c>
      <c r="AZ67">
        <v>300</v>
      </c>
      <c r="BA67">
        <v>1</v>
      </c>
      <c r="BB67" t="str">
        <f t="shared" si="2"/>
        <v xml:space="preserve">N162AM  </v>
      </c>
      <c r="BC67">
        <v>1</v>
      </c>
      <c r="BE67">
        <v>0</v>
      </c>
      <c r="BF67">
        <v>0</v>
      </c>
      <c r="BG67">
        <v>0</v>
      </c>
      <c r="BH67">
        <v>1575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"14:42:41.927"</f>
        <v>14:42:41.927</v>
      </c>
      <c r="CJ67">
        <v>3</v>
      </c>
      <c r="CK67">
        <v>2</v>
      </c>
      <c r="CL67">
        <v>0</v>
      </c>
      <c r="CM67">
        <v>2</v>
      </c>
      <c r="CN67">
        <v>0</v>
      </c>
      <c r="CO67">
        <v>4</v>
      </c>
      <c r="CP67" t="s">
        <v>119</v>
      </c>
      <c r="CQ67">
        <v>232</v>
      </c>
      <c r="CR67">
        <v>2</v>
      </c>
      <c r="CW67">
        <v>6026101</v>
      </c>
      <c r="CY67">
        <v>1</v>
      </c>
      <c r="CZ67">
        <v>0</v>
      </c>
      <c r="DA67">
        <v>1</v>
      </c>
      <c r="DB67">
        <v>0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"12/16/2021 14:42:43.193"</f>
        <v>12/16/2021 14:42:43.193</v>
      </c>
      <c r="C68" t="str">
        <f t="shared" si="1"/>
        <v>FFDFD3C0</v>
      </c>
      <c r="D68" t="s">
        <v>133</v>
      </c>
      <c r="E68">
        <v>44</v>
      </c>
      <c r="H68">
        <v>131</v>
      </c>
      <c r="I68" t="s">
        <v>134</v>
      </c>
      <c r="J68" t="s">
        <v>135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"14:42:42.938"</f>
        <v>14:42:42.938</v>
      </c>
      <c r="T68" t="str">
        <f>"14:42:42.438"</f>
        <v>14:42:42.438</v>
      </c>
      <c r="U68" t="str">
        <f t="shared" si="3"/>
        <v>A0F928</v>
      </c>
      <c r="V68">
        <v>0</v>
      </c>
      <c r="W68">
        <v>0</v>
      </c>
      <c r="X68">
        <v>2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3</v>
      </c>
      <c r="AG68">
        <v>2</v>
      </c>
      <c r="AH68">
        <v>1</v>
      </c>
      <c r="AI68" t="s">
        <v>164</v>
      </c>
      <c r="AJ68">
        <v>35.788758000000001</v>
      </c>
      <c r="AK68" t="s">
        <v>165</v>
      </c>
      <c r="AL68">
        <v>-84.013503</v>
      </c>
      <c r="AM68">
        <v>25</v>
      </c>
      <c r="AN68">
        <v>1325</v>
      </c>
      <c r="AO68" t="s">
        <v>118</v>
      </c>
      <c r="AP68">
        <v>-36</v>
      </c>
      <c r="AQ68">
        <v>-129</v>
      </c>
      <c r="AR68">
        <v>1152</v>
      </c>
      <c r="AZ68">
        <v>300</v>
      </c>
      <c r="BA68">
        <v>1</v>
      </c>
      <c r="BB68" t="str">
        <f t="shared" si="2"/>
        <v xml:space="preserve">N162AM  </v>
      </c>
      <c r="BC68">
        <v>1</v>
      </c>
      <c r="BE68">
        <v>0</v>
      </c>
      <c r="BF68">
        <v>0</v>
      </c>
      <c r="BG68">
        <v>0</v>
      </c>
      <c r="BH68">
        <v>1600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"14:42:42.944"</f>
        <v>14:42:42.944</v>
      </c>
      <c r="CJ68">
        <v>3</v>
      </c>
      <c r="CK68">
        <v>2</v>
      </c>
      <c r="CL68">
        <v>0</v>
      </c>
      <c r="CM68">
        <v>2</v>
      </c>
      <c r="CN68">
        <v>0</v>
      </c>
      <c r="CO68">
        <v>5</v>
      </c>
      <c r="CP68" t="s">
        <v>119</v>
      </c>
      <c r="CQ68">
        <v>232</v>
      </c>
      <c r="CR68">
        <v>2</v>
      </c>
      <c r="CW68">
        <v>6027650</v>
      </c>
      <c r="CY68">
        <v>1</v>
      </c>
      <c r="CZ68">
        <v>0</v>
      </c>
      <c r="DA68">
        <v>0</v>
      </c>
      <c r="DB68">
        <v>0</v>
      </c>
      <c r="DC68">
        <v>0</v>
      </c>
      <c r="DD68">
        <v>1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"12/16/2021 14:42:43.193"</f>
        <v>12/16/2021 14:42:43.193</v>
      </c>
      <c r="C69" t="str">
        <f t="shared" si="1"/>
        <v>FFDFD3C0</v>
      </c>
      <c r="D69" t="s">
        <v>124</v>
      </c>
      <c r="E69">
        <v>10</v>
      </c>
      <c r="F69">
        <v>1010</v>
      </c>
      <c r="G69" t="s">
        <v>130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"14:42:42.938"</f>
        <v>14:42:42.938</v>
      </c>
      <c r="T69" t="str">
        <f>"14:42:42.438"</f>
        <v>14:42:42.438</v>
      </c>
      <c r="U69" t="str">
        <f t="shared" si="3"/>
        <v>A0F928</v>
      </c>
      <c r="V69">
        <v>0</v>
      </c>
      <c r="W69">
        <v>0</v>
      </c>
      <c r="X69">
        <v>2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1</v>
      </c>
      <c r="AI69" t="s">
        <v>164</v>
      </c>
      <c r="AJ69">
        <v>35.788758000000001</v>
      </c>
      <c r="AK69" t="s">
        <v>165</v>
      </c>
      <c r="AL69">
        <v>-84.013503</v>
      </c>
      <c r="AM69">
        <v>25</v>
      </c>
      <c r="AN69">
        <v>1325</v>
      </c>
      <c r="AO69" t="s">
        <v>118</v>
      </c>
      <c r="AP69">
        <v>-36</v>
      </c>
      <c r="AQ69">
        <v>-129</v>
      </c>
      <c r="AR69">
        <v>1152</v>
      </c>
      <c r="AZ69">
        <v>300</v>
      </c>
      <c r="BA69">
        <v>1</v>
      </c>
      <c r="BB69" t="str">
        <f t="shared" si="2"/>
        <v xml:space="preserve">N162AM  </v>
      </c>
      <c r="BC69">
        <v>1</v>
      </c>
      <c r="BE69">
        <v>0</v>
      </c>
      <c r="BF69">
        <v>0</v>
      </c>
      <c r="BG69">
        <v>0</v>
      </c>
      <c r="BH69">
        <v>1600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"14:42:42.944"</f>
        <v>14:42:42.944</v>
      </c>
      <c r="CJ69">
        <v>2</v>
      </c>
      <c r="CK69">
        <v>2</v>
      </c>
      <c r="CL69">
        <v>0</v>
      </c>
      <c r="CM69">
        <v>2</v>
      </c>
      <c r="CN69">
        <v>0</v>
      </c>
      <c r="CO69">
        <v>5</v>
      </c>
      <c r="CP69" t="s">
        <v>119</v>
      </c>
      <c r="CQ69">
        <v>232</v>
      </c>
      <c r="CR69">
        <v>2</v>
      </c>
      <c r="CW69">
        <v>6027650</v>
      </c>
      <c r="CY69">
        <v>1</v>
      </c>
      <c r="CZ69">
        <v>0</v>
      </c>
      <c r="DA69">
        <v>1</v>
      </c>
      <c r="DB69">
        <v>0</v>
      </c>
      <c r="DC69">
        <v>0</v>
      </c>
      <c r="DD69">
        <v>1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"12/16/2021 14:42:43.193"</f>
        <v>12/16/2021 14:42:43.193</v>
      </c>
      <c r="C70" t="str">
        <f t="shared" si="1"/>
        <v>FFDFD3C0</v>
      </c>
      <c r="D70" t="s">
        <v>113</v>
      </c>
      <c r="E70">
        <v>8</v>
      </c>
      <c r="H70">
        <v>176</v>
      </c>
      <c r="I70" t="s">
        <v>114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"14:42:42.938"</f>
        <v>14:42:42.938</v>
      </c>
      <c r="T70" t="str">
        <f>"14:42:42.438"</f>
        <v>14:42:42.438</v>
      </c>
      <c r="U70" t="str">
        <f t="shared" si="3"/>
        <v>A0F928</v>
      </c>
      <c r="V70">
        <v>0</v>
      </c>
      <c r="W70">
        <v>0</v>
      </c>
      <c r="X70">
        <v>2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3</v>
      </c>
      <c r="AG70">
        <v>2</v>
      </c>
      <c r="AH70">
        <v>1</v>
      </c>
      <c r="AI70" t="s">
        <v>164</v>
      </c>
      <c r="AJ70">
        <v>35.788758000000001</v>
      </c>
      <c r="AK70" t="s">
        <v>165</v>
      </c>
      <c r="AL70">
        <v>-84.013503</v>
      </c>
      <c r="AM70">
        <v>25</v>
      </c>
      <c r="AN70">
        <v>1325</v>
      </c>
      <c r="AO70" t="s">
        <v>118</v>
      </c>
      <c r="AP70">
        <v>-36</v>
      </c>
      <c r="AQ70">
        <v>-129</v>
      </c>
      <c r="AR70">
        <v>1152</v>
      </c>
      <c r="AZ70">
        <v>300</v>
      </c>
      <c r="BA70">
        <v>1</v>
      </c>
      <c r="BB70" t="str">
        <f t="shared" si="2"/>
        <v xml:space="preserve">N162AM  </v>
      </c>
      <c r="BC70">
        <v>1</v>
      </c>
      <c r="BE70">
        <v>0</v>
      </c>
      <c r="BF70">
        <v>0</v>
      </c>
      <c r="BG70">
        <v>0</v>
      </c>
      <c r="BH70">
        <v>1600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"14:42:42.944"</f>
        <v>14:42:42.944</v>
      </c>
      <c r="CJ70">
        <v>3</v>
      </c>
      <c r="CK70">
        <v>2</v>
      </c>
      <c r="CL70">
        <v>0</v>
      </c>
      <c r="CM70">
        <v>2</v>
      </c>
      <c r="CN70">
        <v>0</v>
      </c>
      <c r="CO70">
        <v>5</v>
      </c>
      <c r="CP70" t="s">
        <v>119</v>
      </c>
      <c r="CQ70">
        <v>232</v>
      </c>
      <c r="CR70">
        <v>2</v>
      </c>
      <c r="CW70">
        <v>6027650</v>
      </c>
      <c r="CY70">
        <v>1</v>
      </c>
      <c r="CZ70">
        <v>0</v>
      </c>
      <c r="DA70">
        <v>1</v>
      </c>
      <c r="DB70">
        <v>0</v>
      </c>
      <c r="DC70">
        <v>0</v>
      </c>
      <c r="DD70">
        <v>1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"12/16/2021 14:42:43.193"</f>
        <v>12/16/2021 14:42:43.193</v>
      </c>
      <c r="C71" t="str">
        <f t="shared" si="1"/>
        <v>FFDFD3C0</v>
      </c>
      <c r="D71" t="s">
        <v>124</v>
      </c>
      <c r="E71">
        <v>5</v>
      </c>
      <c r="F71">
        <v>1005</v>
      </c>
      <c r="G71" t="s">
        <v>114</v>
      </c>
      <c r="J71" t="s">
        <v>125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"14:42:42.938"</f>
        <v>14:42:42.938</v>
      </c>
      <c r="T71" t="str">
        <f>"14:42:42.438"</f>
        <v>14:42:42.438</v>
      </c>
      <c r="U71" t="str">
        <f t="shared" si="3"/>
        <v>A0F928</v>
      </c>
      <c r="V71">
        <v>0</v>
      </c>
      <c r="W71">
        <v>0</v>
      </c>
      <c r="X71">
        <v>2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3</v>
      </c>
      <c r="AG71">
        <v>2</v>
      </c>
      <c r="AH71">
        <v>1</v>
      </c>
      <c r="AI71" t="s">
        <v>164</v>
      </c>
      <c r="AJ71">
        <v>35.788758000000001</v>
      </c>
      <c r="AK71" t="s">
        <v>165</v>
      </c>
      <c r="AL71">
        <v>-84.013503</v>
      </c>
      <c r="AM71">
        <v>25</v>
      </c>
      <c r="AN71">
        <v>1325</v>
      </c>
      <c r="AO71" t="s">
        <v>118</v>
      </c>
      <c r="AP71">
        <v>-36</v>
      </c>
      <c r="AQ71">
        <v>-129</v>
      </c>
      <c r="AR71">
        <v>1152</v>
      </c>
      <c r="AZ71">
        <v>300</v>
      </c>
      <c r="BA71">
        <v>1</v>
      </c>
      <c r="BB71" t="str">
        <f t="shared" si="2"/>
        <v xml:space="preserve">N162AM  </v>
      </c>
      <c r="BC71">
        <v>1</v>
      </c>
      <c r="BE71">
        <v>0</v>
      </c>
      <c r="BF71">
        <v>0</v>
      </c>
      <c r="BG71">
        <v>0</v>
      </c>
      <c r="BH71">
        <v>1600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"14:42:42.944"</f>
        <v>14:42:42.944</v>
      </c>
      <c r="CJ71">
        <v>3</v>
      </c>
      <c r="CK71">
        <v>2</v>
      </c>
      <c r="CL71">
        <v>0</v>
      </c>
      <c r="CM71">
        <v>2</v>
      </c>
      <c r="CN71">
        <v>0</v>
      </c>
      <c r="CO71">
        <v>5</v>
      </c>
      <c r="CP71" t="s">
        <v>119</v>
      </c>
      <c r="CQ71">
        <v>232</v>
      </c>
      <c r="CR71">
        <v>2</v>
      </c>
      <c r="CW71">
        <v>6027650</v>
      </c>
      <c r="CY71">
        <v>1</v>
      </c>
      <c r="CZ71">
        <v>0</v>
      </c>
      <c r="DA71">
        <v>1</v>
      </c>
      <c r="DB71">
        <v>0</v>
      </c>
      <c r="DC71">
        <v>0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"12/16/2021 14:42:45.083"</f>
        <v>12/16/2021 14:42:45.083</v>
      </c>
      <c r="C72" t="str">
        <f t="shared" si="1"/>
        <v>FFDFD3C0</v>
      </c>
      <c r="D72" t="s">
        <v>124</v>
      </c>
      <c r="E72">
        <v>10</v>
      </c>
      <c r="F72">
        <v>1010</v>
      </c>
      <c r="G72" t="s">
        <v>130</v>
      </c>
      <c r="J72" t="s">
        <v>125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"14:42:44.859"</f>
        <v>14:42:44.859</v>
      </c>
      <c r="T72" t="str">
        <f>"14:42:44.459"</f>
        <v>14:42:44.459</v>
      </c>
      <c r="U72" t="str">
        <f t="shared" si="3"/>
        <v>A0F928</v>
      </c>
      <c r="V72">
        <v>0</v>
      </c>
      <c r="W72">
        <v>0</v>
      </c>
      <c r="X72">
        <v>2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1</v>
      </c>
      <c r="AI72" t="s">
        <v>166</v>
      </c>
      <c r="AJ72">
        <v>35.787534999999998</v>
      </c>
      <c r="AK72" t="s">
        <v>167</v>
      </c>
      <c r="AL72">
        <v>-84.013802999999996</v>
      </c>
      <c r="AM72">
        <v>25</v>
      </c>
      <c r="AN72">
        <v>1375</v>
      </c>
      <c r="AO72" t="s">
        <v>118</v>
      </c>
      <c r="AP72">
        <v>-21</v>
      </c>
      <c r="AQ72">
        <v>-132</v>
      </c>
      <c r="AR72">
        <v>1088</v>
      </c>
      <c r="AZ72">
        <v>300</v>
      </c>
      <c r="BA72">
        <v>1</v>
      </c>
      <c r="BB72" t="str">
        <f t="shared" si="2"/>
        <v xml:space="preserve">N162AM  </v>
      </c>
      <c r="BC72">
        <v>1</v>
      </c>
      <c r="BE72">
        <v>0</v>
      </c>
      <c r="BF72">
        <v>0</v>
      </c>
      <c r="BG72">
        <v>0</v>
      </c>
      <c r="BH72">
        <v>1650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"14:42:44.863"</f>
        <v>14:42:44.863</v>
      </c>
      <c r="CJ72">
        <v>2</v>
      </c>
      <c r="CK72">
        <v>2</v>
      </c>
      <c r="CL72">
        <v>0</v>
      </c>
      <c r="CM72">
        <v>2</v>
      </c>
      <c r="CN72">
        <v>0</v>
      </c>
      <c r="CO72">
        <v>4</v>
      </c>
      <c r="CP72" t="s">
        <v>119</v>
      </c>
      <c r="CQ72">
        <v>232</v>
      </c>
      <c r="CR72">
        <v>1</v>
      </c>
      <c r="CW72">
        <v>14829221</v>
      </c>
      <c r="CY72">
        <v>1</v>
      </c>
      <c r="CZ72">
        <v>0</v>
      </c>
      <c r="DA72">
        <v>0</v>
      </c>
      <c r="DB72">
        <v>0</v>
      </c>
      <c r="DC72">
        <v>0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"12/16/2021 14:42:45.083"</f>
        <v>12/16/2021 14:42:45.083</v>
      </c>
      <c r="C73" t="str">
        <f t="shared" si="1"/>
        <v>FFDFD3C0</v>
      </c>
      <c r="D73" t="s">
        <v>133</v>
      </c>
      <c r="E73">
        <v>44</v>
      </c>
      <c r="H73">
        <v>131</v>
      </c>
      <c r="I73" t="s">
        <v>134</v>
      </c>
      <c r="J73" t="s">
        <v>135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"14:42:44.859"</f>
        <v>14:42:44.859</v>
      </c>
      <c r="T73" t="str">
        <f>"14:42:44.459"</f>
        <v>14:42:44.459</v>
      </c>
      <c r="U73" t="str">
        <f t="shared" si="3"/>
        <v>A0F928</v>
      </c>
      <c r="V73">
        <v>0</v>
      </c>
      <c r="W73">
        <v>0</v>
      </c>
      <c r="X73">
        <v>2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3</v>
      </c>
      <c r="AG73">
        <v>2</v>
      </c>
      <c r="AH73">
        <v>1</v>
      </c>
      <c r="AI73" t="s">
        <v>166</v>
      </c>
      <c r="AJ73">
        <v>35.787534999999998</v>
      </c>
      <c r="AK73" t="s">
        <v>167</v>
      </c>
      <c r="AL73">
        <v>-84.013802999999996</v>
      </c>
      <c r="AM73">
        <v>25</v>
      </c>
      <c r="AN73">
        <v>1375</v>
      </c>
      <c r="AO73" t="s">
        <v>118</v>
      </c>
      <c r="AP73">
        <v>-21</v>
      </c>
      <c r="AQ73">
        <v>-132</v>
      </c>
      <c r="AR73">
        <v>1088</v>
      </c>
      <c r="AZ73">
        <v>300</v>
      </c>
      <c r="BA73">
        <v>1</v>
      </c>
      <c r="BB73" t="str">
        <f t="shared" si="2"/>
        <v xml:space="preserve">N162AM  </v>
      </c>
      <c r="BC73">
        <v>1</v>
      </c>
      <c r="BE73">
        <v>0</v>
      </c>
      <c r="BF73">
        <v>0</v>
      </c>
      <c r="BG73">
        <v>0</v>
      </c>
      <c r="BH73">
        <v>1650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"14:42:44.863"</f>
        <v>14:42:44.863</v>
      </c>
      <c r="CJ73">
        <v>3</v>
      </c>
      <c r="CK73">
        <v>2</v>
      </c>
      <c r="CL73">
        <v>0</v>
      </c>
      <c r="CM73">
        <v>2</v>
      </c>
      <c r="CN73">
        <v>0</v>
      </c>
      <c r="CO73">
        <v>4</v>
      </c>
      <c r="CP73" t="s">
        <v>119</v>
      </c>
      <c r="CQ73">
        <v>232</v>
      </c>
      <c r="CR73">
        <v>1</v>
      </c>
      <c r="CW73">
        <v>14829221</v>
      </c>
      <c r="CY73">
        <v>1</v>
      </c>
      <c r="CZ73">
        <v>0</v>
      </c>
      <c r="DA73">
        <v>1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"12/16/2021 14:42:45.099"</f>
        <v>12/16/2021 14:42:45.099</v>
      </c>
      <c r="C74" t="str">
        <f t="shared" si="1"/>
        <v>FFDFD3C0</v>
      </c>
      <c r="D74" t="s">
        <v>124</v>
      </c>
      <c r="E74">
        <v>5</v>
      </c>
      <c r="F74">
        <v>1005</v>
      </c>
      <c r="G74" t="s">
        <v>114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"14:42:44.859"</f>
        <v>14:42:44.859</v>
      </c>
      <c r="T74" t="str">
        <f>"14:42:44.459"</f>
        <v>14:42:44.459</v>
      </c>
      <c r="U74" t="str">
        <f t="shared" si="3"/>
        <v>A0F928</v>
      </c>
      <c r="V74">
        <v>0</v>
      </c>
      <c r="W74">
        <v>0</v>
      </c>
      <c r="X74">
        <v>2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3</v>
      </c>
      <c r="AG74">
        <v>2</v>
      </c>
      <c r="AH74">
        <v>1</v>
      </c>
      <c r="AI74" t="s">
        <v>166</v>
      </c>
      <c r="AJ74">
        <v>35.787534999999998</v>
      </c>
      <c r="AK74" t="s">
        <v>167</v>
      </c>
      <c r="AL74">
        <v>-84.013802999999996</v>
      </c>
      <c r="AM74">
        <v>25</v>
      </c>
      <c r="AN74">
        <v>1375</v>
      </c>
      <c r="AO74" t="s">
        <v>118</v>
      </c>
      <c r="AP74">
        <v>-21</v>
      </c>
      <c r="AQ74">
        <v>-132</v>
      </c>
      <c r="AR74">
        <v>1088</v>
      </c>
      <c r="AZ74">
        <v>300</v>
      </c>
      <c r="BA74">
        <v>1</v>
      </c>
      <c r="BB74" t="str">
        <f t="shared" si="2"/>
        <v xml:space="preserve">N162AM  </v>
      </c>
      <c r="BC74">
        <v>1</v>
      </c>
      <c r="BE74">
        <v>0</v>
      </c>
      <c r="BF74">
        <v>0</v>
      </c>
      <c r="BG74">
        <v>0</v>
      </c>
      <c r="BH74">
        <v>1650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"14:42:44.863"</f>
        <v>14:42:44.863</v>
      </c>
      <c r="CJ74">
        <v>3</v>
      </c>
      <c r="CK74">
        <v>2</v>
      </c>
      <c r="CL74">
        <v>0</v>
      </c>
      <c r="CM74">
        <v>2</v>
      </c>
      <c r="CN74">
        <v>0</v>
      </c>
      <c r="CO74">
        <v>4</v>
      </c>
      <c r="CP74" t="s">
        <v>119</v>
      </c>
      <c r="CQ74">
        <v>232</v>
      </c>
      <c r="CR74">
        <v>1</v>
      </c>
      <c r="CW74">
        <v>14829221</v>
      </c>
      <c r="CY74">
        <v>1</v>
      </c>
      <c r="CZ74">
        <v>0</v>
      </c>
      <c r="DA74">
        <v>1</v>
      </c>
      <c r="DB74">
        <v>0</v>
      </c>
      <c r="DC74">
        <v>0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"12/16/2021 14:42:45.145"</f>
        <v>12/16/2021 14:42:45.145</v>
      </c>
      <c r="C75" t="str">
        <f t="shared" si="1"/>
        <v>FFDFD3C0</v>
      </c>
      <c r="D75" t="s">
        <v>113</v>
      </c>
      <c r="E75">
        <v>8</v>
      </c>
      <c r="H75">
        <v>176</v>
      </c>
      <c r="I75" t="s">
        <v>114</v>
      </c>
      <c r="J75" t="s">
        <v>115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"14:42:44.859"</f>
        <v>14:42:44.859</v>
      </c>
      <c r="T75" t="str">
        <f>"14:42:44.459"</f>
        <v>14:42:44.459</v>
      </c>
      <c r="U75" t="str">
        <f t="shared" si="3"/>
        <v>A0F928</v>
      </c>
      <c r="V75">
        <v>0</v>
      </c>
      <c r="W75">
        <v>0</v>
      </c>
      <c r="X75">
        <v>2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3</v>
      </c>
      <c r="AG75">
        <v>2</v>
      </c>
      <c r="AH75">
        <v>1</v>
      </c>
      <c r="AI75" t="s">
        <v>166</v>
      </c>
      <c r="AJ75">
        <v>35.787534999999998</v>
      </c>
      <c r="AK75" t="s">
        <v>167</v>
      </c>
      <c r="AL75">
        <v>-84.013802999999996</v>
      </c>
      <c r="AM75">
        <v>25</v>
      </c>
      <c r="AN75">
        <v>1375</v>
      </c>
      <c r="AO75" t="s">
        <v>118</v>
      </c>
      <c r="AP75">
        <v>-21</v>
      </c>
      <c r="AQ75">
        <v>-132</v>
      </c>
      <c r="AR75">
        <v>1088</v>
      </c>
      <c r="AZ75">
        <v>300</v>
      </c>
      <c r="BA75">
        <v>1</v>
      </c>
      <c r="BB75" t="str">
        <f t="shared" si="2"/>
        <v xml:space="preserve">N162AM  </v>
      </c>
      <c r="BC75">
        <v>1</v>
      </c>
      <c r="BE75">
        <v>0</v>
      </c>
      <c r="BF75">
        <v>0</v>
      </c>
      <c r="BG75">
        <v>0</v>
      </c>
      <c r="BH75">
        <v>1650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"14:42:44.863"</f>
        <v>14:42:44.863</v>
      </c>
      <c r="CJ75">
        <v>3</v>
      </c>
      <c r="CK75">
        <v>2</v>
      </c>
      <c r="CL75">
        <v>0</v>
      </c>
      <c r="CM75">
        <v>2</v>
      </c>
      <c r="CN75">
        <v>0</v>
      </c>
      <c r="CO75">
        <v>4</v>
      </c>
      <c r="CP75" t="s">
        <v>119</v>
      </c>
      <c r="CQ75">
        <v>232</v>
      </c>
      <c r="CR75">
        <v>1</v>
      </c>
      <c r="CW75">
        <v>14829221</v>
      </c>
      <c r="CY75">
        <v>1</v>
      </c>
      <c r="CZ75">
        <v>0</v>
      </c>
      <c r="DA75">
        <v>1</v>
      </c>
      <c r="DB75">
        <v>0</v>
      </c>
      <c r="DC75">
        <v>0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"12/16/2021 14:42:46.021"</f>
        <v>12/16/2021 14:42:46.021</v>
      </c>
      <c r="C76" t="str">
        <f t="shared" ref="C76:C139" si="4">"FFDFD3C0"</f>
        <v>FFDFD3C0</v>
      </c>
      <c r="D76" t="s">
        <v>124</v>
      </c>
      <c r="E76">
        <v>10</v>
      </c>
      <c r="F76">
        <v>1010</v>
      </c>
      <c r="G76" t="s">
        <v>130</v>
      </c>
      <c r="J76" t="s">
        <v>125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"14:42:45.758"</f>
        <v>14:42:45.758</v>
      </c>
      <c r="T76" t="str">
        <f>"14:42:45.358"</f>
        <v>14:42:45.358</v>
      </c>
      <c r="U76" t="str">
        <f t="shared" si="3"/>
        <v>A0F928</v>
      </c>
      <c r="V76">
        <v>0</v>
      </c>
      <c r="W76">
        <v>0</v>
      </c>
      <c r="X76">
        <v>2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2</v>
      </c>
      <c r="AH76">
        <v>1</v>
      </c>
      <c r="AI76" t="s">
        <v>168</v>
      </c>
      <c r="AJ76">
        <v>35.786997999999997</v>
      </c>
      <c r="AK76" t="s">
        <v>169</v>
      </c>
      <c r="AL76">
        <v>-84.013889000000006</v>
      </c>
      <c r="AM76">
        <v>25</v>
      </c>
      <c r="AN76">
        <v>1400</v>
      </c>
      <c r="AO76" t="s">
        <v>118</v>
      </c>
      <c r="AP76">
        <v>-16</v>
      </c>
      <c r="AQ76">
        <v>-133</v>
      </c>
      <c r="AR76">
        <v>1088</v>
      </c>
      <c r="AZ76">
        <v>300</v>
      </c>
      <c r="BA76">
        <v>1</v>
      </c>
      <c r="BB76" t="str">
        <f t="shared" ref="BB76:BB139" si="5">"N162AM  "</f>
        <v xml:space="preserve">N162AM  </v>
      </c>
      <c r="BC76">
        <v>1</v>
      </c>
      <c r="BE76">
        <v>0</v>
      </c>
      <c r="BF76">
        <v>0</v>
      </c>
      <c r="BG76">
        <v>0</v>
      </c>
      <c r="BH76">
        <v>1650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"14:42:45.762"</f>
        <v>14:42:45.762</v>
      </c>
      <c r="CJ76">
        <v>2</v>
      </c>
      <c r="CK76">
        <v>2</v>
      </c>
      <c r="CL76">
        <v>0</v>
      </c>
      <c r="CM76">
        <v>2</v>
      </c>
      <c r="CN76">
        <v>0</v>
      </c>
      <c r="CO76">
        <v>5</v>
      </c>
      <c r="CP76" t="s">
        <v>119</v>
      </c>
      <c r="CQ76">
        <v>232</v>
      </c>
      <c r="CR76">
        <v>2</v>
      </c>
      <c r="CW76">
        <v>6031973</v>
      </c>
      <c r="CY76">
        <v>1</v>
      </c>
      <c r="CZ76">
        <v>0</v>
      </c>
      <c r="DA76">
        <v>0</v>
      </c>
      <c r="DB76">
        <v>0</v>
      </c>
      <c r="DC76">
        <v>0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"12/16/2021 14:42:46.021"</f>
        <v>12/16/2021 14:42:46.021</v>
      </c>
      <c r="C77" t="str">
        <f t="shared" si="4"/>
        <v>FFDFD3C0</v>
      </c>
      <c r="D77" t="s">
        <v>133</v>
      </c>
      <c r="E77">
        <v>44</v>
      </c>
      <c r="H77">
        <v>131</v>
      </c>
      <c r="I77" t="s">
        <v>134</v>
      </c>
      <c r="J77" t="s">
        <v>135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"14:42:45.758"</f>
        <v>14:42:45.758</v>
      </c>
      <c r="T77" t="str">
        <f>"14:42:45.358"</f>
        <v>14:42:45.358</v>
      </c>
      <c r="U77" t="str">
        <f t="shared" si="3"/>
        <v>A0F928</v>
      </c>
      <c r="V77">
        <v>0</v>
      </c>
      <c r="W77">
        <v>0</v>
      </c>
      <c r="X77">
        <v>2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3</v>
      </c>
      <c r="AG77">
        <v>2</v>
      </c>
      <c r="AH77">
        <v>1</v>
      </c>
      <c r="AI77" t="s">
        <v>168</v>
      </c>
      <c r="AJ77">
        <v>35.786997999999997</v>
      </c>
      <c r="AK77" t="s">
        <v>169</v>
      </c>
      <c r="AL77">
        <v>-84.013889000000006</v>
      </c>
      <c r="AM77">
        <v>25</v>
      </c>
      <c r="AN77">
        <v>1400</v>
      </c>
      <c r="AO77" t="s">
        <v>118</v>
      </c>
      <c r="AP77">
        <v>-16</v>
      </c>
      <c r="AQ77">
        <v>-133</v>
      </c>
      <c r="AR77">
        <v>1088</v>
      </c>
      <c r="AZ77">
        <v>300</v>
      </c>
      <c r="BA77">
        <v>1</v>
      </c>
      <c r="BB77" t="str">
        <f t="shared" si="5"/>
        <v xml:space="preserve">N162AM  </v>
      </c>
      <c r="BC77">
        <v>1</v>
      </c>
      <c r="BE77">
        <v>0</v>
      </c>
      <c r="BF77">
        <v>0</v>
      </c>
      <c r="BG77">
        <v>0</v>
      </c>
      <c r="BH77">
        <v>1650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"14:42:45.762"</f>
        <v>14:42:45.762</v>
      </c>
      <c r="CJ77">
        <v>3</v>
      </c>
      <c r="CK77">
        <v>2</v>
      </c>
      <c r="CL77">
        <v>0</v>
      </c>
      <c r="CM77">
        <v>2</v>
      </c>
      <c r="CN77">
        <v>0</v>
      </c>
      <c r="CO77">
        <v>5</v>
      </c>
      <c r="CP77" t="s">
        <v>119</v>
      </c>
      <c r="CQ77">
        <v>232</v>
      </c>
      <c r="CR77">
        <v>2</v>
      </c>
      <c r="CW77">
        <v>6031973</v>
      </c>
      <c r="CY77">
        <v>1</v>
      </c>
      <c r="CZ77">
        <v>0</v>
      </c>
      <c r="DA77">
        <v>1</v>
      </c>
      <c r="DB77">
        <v>0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"12/16/2021 14:42:46.021"</f>
        <v>12/16/2021 14:42:46.021</v>
      </c>
      <c r="C78" t="str">
        <f t="shared" si="4"/>
        <v>FFDFD3C0</v>
      </c>
      <c r="D78" t="s">
        <v>124</v>
      </c>
      <c r="E78">
        <v>5</v>
      </c>
      <c r="F78">
        <v>1005</v>
      </c>
      <c r="G78" t="s">
        <v>114</v>
      </c>
      <c r="J78" t="s">
        <v>125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"14:42:45.758"</f>
        <v>14:42:45.758</v>
      </c>
      <c r="T78" t="str">
        <f>"14:42:45.358"</f>
        <v>14:42:45.358</v>
      </c>
      <c r="U78" t="str">
        <f t="shared" si="3"/>
        <v>A0F928</v>
      </c>
      <c r="V78">
        <v>0</v>
      </c>
      <c r="W78">
        <v>0</v>
      </c>
      <c r="X78">
        <v>2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3</v>
      </c>
      <c r="AG78">
        <v>2</v>
      </c>
      <c r="AH78">
        <v>1</v>
      </c>
      <c r="AI78" t="s">
        <v>168</v>
      </c>
      <c r="AJ78">
        <v>35.786997999999997</v>
      </c>
      <c r="AK78" t="s">
        <v>169</v>
      </c>
      <c r="AL78">
        <v>-84.013889000000006</v>
      </c>
      <c r="AM78">
        <v>25</v>
      </c>
      <c r="AN78">
        <v>1400</v>
      </c>
      <c r="AO78" t="s">
        <v>118</v>
      </c>
      <c r="AP78">
        <v>-16</v>
      </c>
      <c r="AQ78">
        <v>-133</v>
      </c>
      <c r="AR78">
        <v>1088</v>
      </c>
      <c r="AZ78">
        <v>300</v>
      </c>
      <c r="BA78">
        <v>1</v>
      </c>
      <c r="BB78" t="str">
        <f t="shared" si="5"/>
        <v xml:space="preserve">N162AM  </v>
      </c>
      <c r="BC78">
        <v>1</v>
      </c>
      <c r="BE78">
        <v>0</v>
      </c>
      <c r="BF78">
        <v>0</v>
      </c>
      <c r="BG78">
        <v>0</v>
      </c>
      <c r="BH78">
        <v>1650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"14:42:45.762"</f>
        <v>14:42:45.762</v>
      </c>
      <c r="CJ78">
        <v>3</v>
      </c>
      <c r="CK78">
        <v>2</v>
      </c>
      <c r="CL78">
        <v>0</v>
      </c>
      <c r="CM78">
        <v>2</v>
      </c>
      <c r="CN78">
        <v>0</v>
      </c>
      <c r="CO78">
        <v>5</v>
      </c>
      <c r="CP78" t="s">
        <v>119</v>
      </c>
      <c r="CQ78">
        <v>232</v>
      </c>
      <c r="CR78">
        <v>2</v>
      </c>
      <c r="CW78">
        <v>6031973</v>
      </c>
      <c r="CY78">
        <v>1</v>
      </c>
      <c r="CZ78">
        <v>0</v>
      </c>
      <c r="DA78">
        <v>1</v>
      </c>
      <c r="DB78">
        <v>0</v>
      </c>
      <c r="DC78">
        <v>0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"12/16/2021 14:42:46.021"</f>
        <v>12/16/2021 14:42:46.021</v>
      </c>
      <c r="C79" t="str">
        <f t="shared" si="4"/>
        <v>FFDFD3C0</v>
      </c>
      <c r="D79" t="s">
        <v>113</v>
      </c>
      <c r="E79">
        <v>8</v>
      </c>
      <c r="H79">
        <v>176</v>
      </c>
      <c r="I79" t="s">
        <v>114</v>
      </c>
      <c r="J79" t="s">
        <v>115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"14:42:45.758"</f>
        <v>14:42:45.758</v>
      </c>
      <c r="T79" t="str">
        <f>"14:42:45.358"</f>
        <v>14:42:45.358</v>
      </c>
      <c r="U79" t="str">
        <f t="shared" si="3"/>
        <v>A0F928</v>
      </c>
      <c r="V79">
        <v>0</v>
      </c>
      <c r="W79">
        <v>0</v>
      </c>
      <c r="X79">
        <v>2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3</v>
      </c>
      <c r="AG79">
        <v>2</v>
      </c>
      <c r="AH79">
        <v>1</v>
      </c>
      <c r="AI79" t="s">
        <v>168</v>
      </c>
      <c r="AJ79">
        <v>35.786997999999997</v>
      </c>
      <c r="AK79" t="s">
        <v>169</v>
      </c>
      <c r="AL79">
        <v>-84.013889000000006</v>
      </c>
      <c r="AM79">
        <v>25</v>
      </c>
      <c r="AN79">
        <v>1400</v>
      </c>
      <c r="AO79" t="s">
        <v>118</v>
      </c>
      <c r="AP79">
        <v>-16</v>
      </c>
      <c r="AQ79">
        <v>-133</v>
      </c>
      <c r="AR79">
        <v>1088</v>
      </c>
      <c r="AZ79">
        <v>300</v>
      </c>
      <c r="BA79">
        <v>1</v>
      </c>
      <c r="BB79" t="str">
        <f t="shared" si="5"/>
        <v xml:space="preserve">N162AM  </v>
      </c>
      <c r="BC79">
        <v>1</v>
      </c>
      <c r="BE79">
        <v>0</v>
      </c>
      <c r="BF79">
        <v>0</v>
      </c>
      <c r="BG79">
        <v>0</v>
      </c>
      <c r="BH79">
        <v>1650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"14:42:45.762"</f>
        <v>14:42:45.762</v>
      </c>
      <c r="CJ79">
        <v>3</v>
      </c>
      <c r="CK79">
        <v>2</v>
      </c>
      <c r="CL79">
        <v>0</v>
      </c>
      <c r="CM79">
        <v>2</v>
      </c>
      <c r="CN79">
        <v>0</v>
      </c>
      <c r="CO79">
        <v>5</v>
      </c>
      <c r="CP79" t="s">
        <v>119</v>
      </c>
      <c r="CQ79">
        <v>232</v>
      </c>
      <c r="CR79">
        <v>2</v>
      </c>
      <c r="CW79">
        <v>6031973</v>
      </c>
      <c r="CY79">
        <v>1</v>
      </c>
      <c r="CZ79">
        <v>0</v>
      </c>
      <c r="DA79">
        <v>1</v>
      </c>
      <c r="DB79">
        <v>0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"12/16/2021 14:42:47.036"</f>
        <v>12/16/2021 14:42:47.036</v>
      </c>
      <c r="C80" t="str">
        <f t="shared" si="4"/>
        <v>FFDFD3C0</v>
      </c>
      <c r="D80" t="s">
        <v>113</v>
      </c>
      <c r="E80">
        <v>8</v>
      </c>
      <c r="H80">
        <v>176</v>
      </c>
      <c r="I80" t="s">
        <v>114</v>
      </c>
      <c r="J80" t="s">
        <v>115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"14:42:46.820"</f>
        <v>14:42:46.820</v>
      </c>
      <c r="T80" t="str">
        <f>"14:42:46.320"</f>
        <v>14:42:46.320</v>
      </c>
      <c r="U80" t="str">
        <f t="shared" si="3"/>
        <v>A0F928</v>
      </c>
      <c r="V80">
        <v>0</v>
      </c>
      <c r="W80">
        <v>0</v>
      </c>
      <c r="X80">
        <v>2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3</v>
      </c>
      <c r="AG80">
        <v>2</v>
      </c>
      <c r="AH80">
        <v>1</v>
      </c>
      <c r="AI80" t="s">
        <v>170</v>
      </c>
      <c r="AJ80">
        <v>35.786355</v>
      </c>
      <c r="AK80" t="s">
        <v>169</v>
      </c>
      <c r="AL80">
        <v>-84.013889000000006</v>
      </c>
      <c r="AM80">
        <v>25</v>
      </c>
      <c r="AN80">
        <v>1400</v>
      </c>
      <c r="AO80" t="s">
        <v>118</v>
      </c>
      <c r="AP80">
        <v>-9</v>
      </c>
      <c r="AQ80">
        <v>-134</v>
      </c>
      <c r="AR80">
        <v>1152</v>
      </c>
      <c r="AZ80">
        <v>300</v>
      </c>
      <c r="BA80">
        <v>1</v>
      </c>
      <c r="BB80" t="str">
        <f t="shared" si="5"/>
        <v xml:space="preserve">N162AM  </v>
      </c>
      <c r="BC80">
        <v>1</v>
      </c>
      <c r="BE80">
        <v>0</v>
      </c>
      <c r="BF80">
        <v>0</v>
      </c>
      <c r="BG80">
        <v>0</v>
      </c>
      <c r="BH80">
        <v>1675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"14:42:46.822"</f>
        <v>14:42:46.822</v>
      </c>
      <c r="CJ80">
        <v>3</v>
      </c>
      <c r="CK80">
        <v>2</v>
      </c>
      <c r="CL80">
        <v>0</v>
      </c>
      <c r="CM80">
        <v>2</v>
      </c>
      <c r="CN80">
        <v>0</v>
      </c>
      <c r="CO80">
        <v>5</v>
      </c>
      <c r="CP80" t="s">
        <v>119</v>
      </c>
      <c r="CQ80">
        <v>232</v>
      </c>
      <c r="CR80">
        <v>2</v>
      </c>
      <c r="CW80">
        <v>6033528</v>
      </c>
      <c r="CY80">
        <v>1</v>
      </c>
      <c r="CZ80">
        <v>0</v>
      </c>
      <c r="DA80">
        <v>0</v>
      </c>
      <c r="DB80">
        <v>0</v>
      </c>
      <c r="DC80">
        <v>0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"12/16/2021 14:42:47.036"</f>
        <v>12/16/2021 14:42:47.036</v>
      </c>
      <c r="C81" t="str">
        <f t="shared" si="4"/>
        <v>FFDFD3C0</v>
      </c>
      <c r="D81" t="s">
        <v>124</v>
      </c>
      <c r="E81">
        <v>10</v>
      </c>
      <c r="F81">
        <v>1010</v>
      </c>
      <c r="G81" t="s">
        <v>130</v>
      </c>
      <c r="J81" t="s">
        <v>125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"14:42:46.820"</f>
        <v>14:42:46.820</v>
      </c>
      <c r="T81" t="str">
        <f>"14:42:46.320"</f>
        <v>14:42:46.320</v>
      </c>
      <c r="U81" t="str">
        <f t="shared" si="3"/>
        <v>A0F928</v>
      </c>
      <c r="V81">
        <v>0</v>
      </c>
      <c r="W81">
        <v>0</v>
      </c>
      <c r="X81">
        <v>2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2</v>
      </c>
      <c r="AH81">
        <v>1</v>
      </c>
      <c r="AI81" t="s">
        <v>170</v>
      </c>
      <c r="AJ81">
        <v>35.786355</v>
      </c>
      <c r="AK81" t="s">
        <v>169</v>
      </c>
      <c r="AL81">
        <v>-84.013889000000006</v>
      </c>
      <c r="AM81">
        <v>25</v>
      </c>
      <c r="AN81">
        <v>1400</v>
      </c>
      <c r="AO81" t="s">
        <v>118</v>
      </c>
      <c r="AP81">
        <v>-9</v>
      </c>
      <c r="AQ81">
        <v>-134</v>
      </c>
      <c r="AR81">
        <v>1152</v>
      </c>
      <c r="AZ81">
        <v>300</v>
      </c>
      <c r="BA81">
        <v>1</v>
      </c>
      <c r="BB81" t="str">
        <f t="shared" si="5"/>
        <v xml:space="preserve">N162AM  </v>
      </c>
      <c r="BC81">
        <v>1</v>
      </c>
      <c r="BE81">
        <v>0</v>
      </c>
      <c r="BF81">
        <v>0</v>
      </c>
      <c r="BG81">
        <v>0</v>
      </c>
      <c r="BH81">
        <v>1675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"14:42:46.822"</f>
        <v>14:42:46.822</v>
      </c>
      <c r="CJ81">
        <v>2</v>
      </c>
      <c r="CK81">
        <v>2</v>
      </c>
      <c r="CL81">
        <v>0</v>
      </c>
      <c r="CM81">
        <v>2</v>
      </c>
      <c r="CN81">
        <v>0</v>
      </c>
      <c r="CO81">
        <v>5</v>
      </c>
      <c r="CP81" t="s">
        <v>119</v>
      </c>
      <c r="CQ81">
        <v>232</v>
      </c>
      <c r="CR81">
        <v>2</v>
      </c>
      <c r="CW81">
        <v>6033528</v>
      </c>
      <c r="CY81">
        <v>1</v>
      </c>
      <c r="CZ81">
        <v>0</v>
      </c>
      <c r="DA81">
        <v>1</v>
      </c>
      <c r="DB81">
        <v>0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"12/16/2021 14:42:47.083"</f>
        <v>12/16/2021 14:42:47.083</v>
      </c>
      <c r="C82" t="str">
        <f t="shared" si="4"/>
        <v>FFDFD3C0</v>
      </c>
      <c r="D82" t="s">
        <v>124</v>
      </c>
      <c r="E82">
        <v>5</v>
      </c>
      <c r="F82">
        <v>1005</v>
      </c>
      <c r="G82" t="s">
        <v>114</v>
      </c>
      <c r="J82" t="s">
        <v>125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"14:42:46.820"</f>
        <v>14:42:46.820</v>
      </c>
      <c r="T82" t="str">
        <f>"14:42:46.320"</f>
        <v>14:42:46.320</v>
      </c>
      <c r="U82" t="str">
        <f t="shared" si="3"/>
        <v>A0F928</v>
      </c>
      <c r="V82">
        <v>0</v>
      </c>
      <c r="W82">
        <v>0</v>
      </c>
      <c r="X82">
        <v>2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3</v>
      </c>
      <c r="AG82">
        <v>2</v>
      </c>
      <c r="AH82">
        <v>1</v>
      </c>
      <c r="AI82" t="s">
        <v>170</v>
      </c>
      <c r="AJ82">
        <v>35.786355</v>
      </c>
      <c r="AK82" t="s">
        <v>169</v>
      </c>
      <c r="AL82">
        <v>-84.013889000000006</v>
      </c>
      <c r="AM82">
        <v>25</v>
      </c>
      <c r="AN82">
        <v>1400</v>
      </c>
      <c r="AO82" t="s">
        <v>118</v>
      </c>
      <c r="AP82">
        <v>-9</v>
      </c>
      <c r="AQ82">
        <v>-134</v>
      </c>
      <c r="AR82">
        <v>1152</v>
      </c>
      <c r="AZ82">
        <v>300</v>
      </c>
      <c r="BA82">
        <v>1</v>
      </c>
      <c r="BB82" t="str">
        <f t="shared" si="5"/>
        <v xml:space="preserve">N162AM  </v>
      </c>
      <c r="BC82">
        <v>1</v>
      </c>
      <c r="BE82">
        <v>0</v>
      </c>
      <c r="BF82">
        <v>0</v>
      </c>
      <c r="BG82">
        <v>0</v>
      </c>
      <c r="BH82">
        <v>1675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"14:42:46.822"</f>
        <v>14:42:46.822</v>
      </c>
      <c r="CJ82">
        <v>3</v>
      </c>
      <c r="CK82">
        <v>2</v>
      </c>
      <c r="CL82">
        <v>0</v>
      </c>
      <c r="CM82">
        <v>2</v>
      </c>
      <c r="CN82">
        <v>0</v>
      </c>
      <c r="CO82">
        <v>5</v>
      </c>
      <c r="CP82" t="s">
        <v>119</v>
      </c>
      <c r="CQ82">
        <v>232</v>
      </c>
      <c r="CR82">
        <v>2</v>
      </c>
      <c r="CW82">
        <v>6033528</v>
      </c>
      <c r="CY82">
        <v>1</v>
      </c>
      <c r="CZ82">
        <v>0</v>
      </c>
      <c r="DA82">
        <v>1</v>
      </c>
      <c r="DB82">
        <v>0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"12/16/2021 14:42:47.083"</f>
        <v>12/16/2021 14:42:47.083</v>
      </c>
      <c r="C83" t="str">
        <f t="shared" si="4"/>
        <v>FFDFD3C0</v>
      </c>
      <c r="D83" t="s">
        <v>133</v>
      </c>
      <c r="E83">
        <v>44</v>
      </c>
      <c r="H83">
        <v>131</v>
      </c>
      <c r="I83" t="s">
        <v>134</v>
      </c>
      <c r="J83" t="s">
        <v>135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"14:42:46.820"</f>
        <v>14:42:46.820</v>
      </c>
      <c r="T83" t="str">
        <f>"14:42:46.320"</f>
        <v>14:42:46.320</v>
      </c>
      <c r="U83" t="str">
        <f t="shared" si="3"/>
        <v>A0F928</v>
      </c>
      <c r="V83">
        <v>0</v>
      </c>
      <c r="W83">
        <v>0</v>
      </c>
      <c r="X83">
        <v>2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3</v>
      </c>
      <c r="AG83">
        <v>2</v>
      </c>
      <c r="AH83">
        <v>1</v>
      </c>
      <c r="AI83" t="s">
        <v>170</v>
      </c>
      <c r="AJ83">
        <v>35.786355</v>
      </c>
      <c r="AK83" t="s">
        <v>169</v>
      </c>
      <c r="AL83">
        <v>-84.013889000000006</v>
      </c>
      <c r="AM83">
        <v>25</v>
      </c>
      <c r="AN83">
        <v>1400</v>
      </c>
      <c r="AO83" t="s">
        <v>118</v>
      </c>
      <c r="AP83">
        <v>-9</v>
      </c>
      <c r="AQ83">
        <v>-134</v>
      </c>
      <c r="AR83">
        <v>1152</v>
      </c>
      <c r="AZ83">
        <v>300</v>
      </c>
      <c r="BA83">
        <v>1</v>
      </c>
      <c r="BB83" t="str">
        <f t="shared" si="5"/>
        <v xml:space="preserve">N162AM  </v>
      </c>
      <c r="BC83">
        <v>1</v>
      </c>
      <c r="BE83">
        <v>0</v>
      </c>
      <c r="BF83">
        <v>0</v>
      </c>
      <c r="BG83">
        <v>0</v>
      </c>
      <c r="BH83">
        <v>1675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"14:42:46.822"</f>
        <v>14:42:46.822</v>
      </c>
      <c r="CJ83">
        <v>3</v>
      </c>
      <c r="CK83">
        <v>2</v>
      </c>
      <c r="CL83">
        <v>0</v>
      </c>
      <c r="CM83">
        <v>2</v>
      </c>
      <c r="CN83">
        <v>0</v>
      </c>
      <c r="CO83">
        <v>5</v>
      </c>
      <c r="CP83" t="s">
        <v>119</v>
      </c>
      <c r="CQ83">
        <v>232</v>
      </c>
      <c r="CR83">
        <v>2</v>
      </c>
      <c r="CW83">
        <v>6033528</v>
      </c>
      <c r="CY83">
        <v>1</v>
      </c>
      <c r="CZ83">
        <v>0</v>
      </c>
      <c r="DA83">
        <v>1</v>
      </c>
      <c r="DB83">
        <v>0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"12/16/2021 14:42:48.037"</f>
        <v>12/16/2021 14:42:48.037</v>
      </c>
      <c r="C84" t="str">
        <f t="shared" si="4"/>
        <v>FFDFD3C0</v>
      </c>
      <c r="D84" t="s">
        <v>124</v>
      </c>
      <c r="E84">
        <v>10</v>
      </c>
      <c r="F84">
        <v>1010</v>
      </c>
      <c r="G84" t="s">
        <v>130</v>
      </c>
      <c r="J84" t="s">
        <v>125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"14:42:47.797"</f>
        <v>14:42:47.797</v>
      </c>
      <c r="T84" t="str">
        <f>"14:42:47.397"</f>
        <v>14:42:47.397</v>
      </c>
      <c r="U84" t="str">
        <f t="shared" si="3"/>
        <v>A0F928</v>
      </c>
      <c r="V84">
        <v>0</v>
      </c>
      <c r="W84">
        <v>0</v>
      </c>
      <c r="X84">
        <v>2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2</v>
      </c>
      <c r="AH84">
        <v>1</v>
      </c>
      <c r="AI84" t="s">
        <v>171</v>
      </c>
      <c r="AJ84">
        <v>35.785775000000001</v>
      </c>
      <c r="AK84" t="s">
        <v>172</v>
      </c>
      <c r="AL84">
        <v>-84.013931999999997</v>
      </c>
      <c r="AM84">
        <v>25</v>
      </c>
      <c r="AN84">
        <v>1425</v>
      </c>
      <c r="AO84" t="s">
        <v>118</v>
      </c>
      <c r="AP84">
        <v>-3</v>
      </c>
      <c r="AQ84">
        <v>-134</v>
      </c>
      <c r="AR84">
        <v>1152</v>
      </c>
      <c r="AZ84">
        <v>300</v>
      </c>
      <c r="BA84">
        <v>1</v>
      </c>
      <c r="BB84" t="str">
        <f t="shared" si="5"/>
        <v xml:space="preserve">N162AM  </v>
      </c>
      <c r="BC84">
        <v>1</v>
      </c>
      <c r="BE84">
        <v>0</v>
      </c>
      <c r="BF84">
        <v>0</v>
      </c>
      <c r="BG84">
        <v>0</v>
      </c>
      <c r="BH84">
        <v>1675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"14:42:47.802"</f>
        <v>14:42:47.802</v>
      </c>
      <c r="CJ84">
        <v>2</v>
      </c>
      <c r="CK84">
        <v>2</v>
      </c>
      <c r="CL84">
        <v>0</v>
      </c>
      <c r="CM84">
        <v>2</v>
      </c>
      <c r="CN84">
        <v>0</v>
      </c>
      <c r="CO84">
        <v>5</v>
      </c>
      <c r="CP84" t="s">
        <v>119</v>
      </c>
      <c r="CQ84">
        <v>232</v>
      </c>
      <c r="CR84">
        <v>1</v>
      </c>
      <c r="CW84">
        <v>14833813</v>
      </c>
      <c r="CY84">
        <v>1</v>
      </c>
      <c r="CZ84">
        <v>0</v>
      </c>
      <c r="DA84">
        <v>0</v>
      </c>
      <c r="DB84">
        <v>0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"12/16/2021 14:42:48.037"</f>
        <v>12/16/2021 14:42:48.037</v>
      </c>
      <c r="C85" t="str">
        <f t="shared" si="4"/>
        <v>FFDFD3C0</v>
      </c>
      <c r="D85" t="s">
        <v>124</v>
      </c>
      <c r="E85">
        <v>5</v>
      </c>
      <c r="F85">
        <v>1005</v>
      </c>
      <c r="G85" t="s">
        <v>114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"14:42:47.797"</f>
        <v>14:42:47.797</v>
      </c>
      <c r="T85" t="str">
        <f>"14:42:47.397"</f>
        <v>14:42:47.397</v>
      </c>
      <c r="U85" t="str">
        <f t="shared" si="3"/>
        <v>A0F928</v>
      </c>
      <c r="V85">
        <v>0</v>
      </c>
      <c r="W85">
        <v>0</v>
      </c>
      <c r="X85">
        <v>2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3</v>
      </c>
      <c r="AG85">
        <v>2</v>
      </c>
      <c r="AH85">
        <v>1</v>
      </c>
      <c r="AI85" t="s">
        <v>171</v>
      </c>
      <c r="AJ85">
        <v>35.785775000000001</v>
      </c>
      <c r="AK85" t="s">
        <v>172</v>
      </c>
      <c r="AL85">
        <v>-84.013931999999997</v>
      </c>
      <c r="AM85">
        <v>25</v>
      </c>
      <c r="AN85">
        <v>1425</v>
      </c>
      <c r="AO85" t="s">
        <v>118</v>
      </c>
      <c r="AP85">
        <v>-3</v>
      </c>
      <c r="AQ85">
        <v>-134</v>
      </c>
      <c r="AR85">
        <v>1152</v>
      </c>
      <c r="AZ85">
        <v>300</v>
      </c>
      <c r="BA85">
        <v>1</v>
      </c>
      <c r="BB85" t="str">
        <f t="shared" si="5"/>
        <v xml:space="preserve">N162AM  </v>
      </c>
      <c r="BC85">
        <v>1</v>
      </c>
      <c r="BE85">
        <v>0</v>
      </c>
      <c r="BF85">
        <v>0</v>
      </c>
      <c r="BG85">
        <v>0</v>
      </c>
      <c r="BH85">
        <v>1675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"14:42:47.802"</f>
        <v>14:42:47.802</v>
      </c>
      <c r="CJ85">
        <v>3</v>
      </c>
      <c r="CK85">
        <v>2</v>
      </c>
      <c r="CL85">
        <v>0</v>
      </c>
      <c r="CM85">
        <v>2</v>
      </c>
      <c r="CN85">
        <v>0</v>
      </c>
      <c r="CO85">
        <v>5</v>
      </c>
      <c r="CP85" t="s">
        <v>119</v>
      </c>
      <c r="CQ85">
        <v>232</v>
      </c>
      <c r="CR85">
        <v>1</v>
      </c>
      <c r="CW85">
        <v>14833813</v>
      </c>
      <c r="CY85">
        <v>1</v>
      </c>
      <c r="CZ85">
        <v>0</v>
      </c>
      <c r="DA85">
        <v>1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"12/16/2021 14:42:48.037"</f>
        <v>12/16/2021 14:42:48.037</v>
      </c>
      <c r="C86" t="str">
        <f t="shared" si="4"/>
        <v>FFDFD3C0</v>
      </c>
      <c r="D86" t="s">
        <v>133</v>
      </c>
      <c r="E86">
        <v>44</v>
      </c>
      <c r="H86">
        <v>131</v>
      </c>
      <c r="I86" t="s">
        <v>134</v>
      </c>
      <c r="J86" t="s">
        <v>135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"14:42:47.797"</f>
        <v>14:42:47.797</v>
      </c>
      <c r="T86" t="str">
        <f>"14:42:47.397"</f>
        <v>14:42:47.397</v>
      </c>
      <c r="U86" t="str">
        <f t="shared" si="3"/>
        <v>A0F928</v>
      </c>
      <c r="V86">
        <v>0</v>
      </c>
      <c r="W86">
        <v>0</v>
      </c>
      <c r="X86">
        <v>2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3</v>
      </c>
      <c r="AG86">
        <v>2</v>
      </c>
      <c r="AH86">
        <v>1</v>
      </c>
      <c r="AI86" t="s">
        <v>171</v>
      </c>
      <c r="AJ86">
        <v>35.785775000000001</v>
      </c>
      <c r="AK86" t="s">
        <v>172</v>
      </c>
      <c r="AL86">
        <v>-84.013931999999997</v>
      </c>
      <c r="AM86">
        <v>25</v>
      </c>
      <c r="AN86">
        <v>1425</v>
      </c>
      <c r="AO86" t="s">
        <v>118</v>
      </c>
      <c r="AP86">
        <v>-3</v>
      </c>
      <c r="AQ86">
        <v>-134</v>
      </c>
      <c r="AR86">
        <v>1152</v>
      </c>
      <c r="AZ86">
        <v>300</v>
      </c>
      <c r="BA86">
        <v>1</v>
      </c>
      <c r="BB86" t="str">
        <f t="shared" si="5"/>
        <v xml:space="preserve">N162AM  </v>
      </c>
      <c r="BC86">
        <v>1</v>
      </c>
      <c r="BE86">
        <v>0</v>
      </c>
      <c r="BF86">
        <v>0</v>
      </c>
      <c r="BG86">
        <v>0</v>
      </c>
      <c r="BH86">
        <v>1675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"14:42:47.802"</f>
        <v>14:42:47.802</v>
      </c>
      <c r="CJ86">
        <v>3</v>
      </c>
      <c r="CK86">
        <v>2</v>
      </c>
      <c r="CL86">
        <v>0</v>
      </c>
      <c r="CM86">
        <v>2</v>
      </c>
      <c r="CN86">
        <v>0</v>
      </c>
      <c r="CO86">
        <v>5</v>
      </c>
      <c r="CP86" t="s">
        <v>119</v>
      </c>
      <c r="CQ86">
        <v>232</v>
      </c>
      <c r="CR86">
        <v>1</v>
      </c>
      <c r="CW86">
        <v>14833813</v>
      </c>
      <c r="CY86">
        <v>1</v>
      </c>
      <c r="CZ86">
        <v>0</v>
      </c>
      <c r="DA86">
        <v>1</v>
      </c>
      <c r="DB86">
        <v>0</v>
      </c>
      <c r="DC86">
        <v>0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"12/16/2021 14:42:48.037"</f>
        <v>12/16/2021 14:42:48.037</v>
      </c>
      <c r="C87" t="str">
        <f t="shared" si="4"/>
        <v>FFDFD3C0</v>
      </c>
      <c r="D87" t="s">
        <v>113</v>
      </c>
      <c r="E87">
        <v>8</v>
      </c>
      <c r="H87">
        <v>176</v>
      </c>
      <c r="I87" t="s">
        <v>114</v>
      </c>
      <c r="J87" t="s">
        <v>115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"14:42:47.797"</f>
        <v>14:42:47.797</v>
      </c>
      <c r="T87" t="str">
        <f>"14:42:47.397"</f>
        <v>14:42:47.397</v>
      </c>
      <c r="U87" t="str">
        <f t="shared" si="3"/>
        <v>A0F928</v>
      </c>
      <c r="V87">
        <v>0</v>
      </c>
      <c r="W87">
        <v>0</v>
      </c>
      <c r="X87">
        <v>2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3</v>
      </c>
      <c r="AG87">
        <v>2</v>
      </c>
      <c r="AH87">
        <v>1</v>
      </c>
      <c r="AI87" t="s">
        <v>171</v>
      </c>
      <c r="AJ87">
        <v>35.785775000000001</v>
      </c>
      <c r="AK87" t="s">
        <v>172</v>
      </c>
      <c r="AL87">
        <v>-84.013931999999997</v>
      </c>
      <c r="AM87">
        <v>25</v>
      </c>
      <c r="AN87">
        <v>1425</v>
      </c>
      <c r="AO87" t="s">
        <v>118</v>
      </c>
      <c r="AP87">
        <v>-3</v>
      </c>
      <c r="AQ87">
        <v>-134</v>
      </c>
      <c r="AR87">
        <v>1152</v>
      </c>
      <c r="AZ87">
        <v>300</v>
      </c>
      <c r="BA87">
        <v>1</v>
      </c>
      <c r="BB87" t="str">
        <f t="shared" si="5"/>
        <v xml:space="preserve">N162AM  </v>
      </c>
      <c r="BC87">
        <v>1</v>
      </c>
      <c r="BE87">
        <v>0</v>
      </c>
      <c r="BF87">
        <v>0</v>
      </c>
      <c r="BG87">
        <v>0</v>
      </c>
      <c r="BH87">
        <v>1675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"14:42:47.802"</f>
        <v>14:42:47.802</v>
      </c>
      <c r="CJ87">
        <v>3</v>
      </c>
      <c r="CK87">
        <v>2</v>
      </c>
      <c r="CL87">
        <v>0</v>
      </c>
      <c r="CM87">
        <v>2</v>
      </c>
      <c r="CN87">
        <v>0</v>
      </c>
      <c r="CO87">
        <v>5</v>
      </c>
      <c r="CP87" t="s">
        <v>119</v>
      </c>
      <c r="CQ87">
        <v>232</v>
      </c>
      <c r="CR87">
        <v>1</v>
      </c>
      <c r="CW87">
        <v>14833813</v>
      </c>
      <c r="CY87">
        <v>1</v>
      </c>
      <c r="CZ87">
        <v>0</v>
      </c>
      <c r="DA87">
        <v>1</v>
      </c>
      <c r="DB87">
        <v>0</v>
      </c>
      <c r="DC87">
        <v>0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"12/16/2021 14:42:48.960"</f>
        <v>12/16/2021 14:42:48.960</v>
      </c>
      <c r="C88" t="str">
        <f t="shared" si="4"/>
        <v>FFDFD3C0</v>
      </c>
      <c r="D88" t="s">
        <v>124</v>
      </c>
      <c r="E88">
        <v>10</v>
      </c>
      <c r="F88">
        <v>1010</v>
      </c>
      <c r="G88" t="s">
        <v>130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"14:42:48.750"</f>
        <v>14:42:48.750</v>
      </c>
      <c r="T88" t="str">
        <f>"14:42:48.250"</f>
        <v>14:42:48.250</v>
      </c>
      <c r="U88" t="str">
        <f t="shared" si="3"/>
        <v>A0F928</v>
      </c>
      <c r="V88">
        <v>0</v>
      </c>
      <c r="W88">
        <v>0</v>
      </c>
      <c r="X88">
        <v>2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2</v>
      </c>
      <c r="AH88">
        <v>1</v>
      </c>
      <c r="AI88" t="s">
        <v>173</v>
      </c>
      <c r="AJ88">
        <v>35.785131</v>
      </c>
      <c r="AK88" t="s">
        <v>169</v>
      </c>
      <c r="AL88">
        <v>-84.013889000000006</v>
      </c>
      <c r="AM88">
        <v>25</v>
      </c>
      <c r="AN88">
        <v>1450</v>
      </c>
      <c r="AO88" t="s">
        <v>118</v>
      </c>
      <c r="AP88">
        <v>2</v>
      </c>
      <c r="AQ88">
        <v>-134</v>
      </c>
      <c r="AR88">
        <v>1088</v>
      </c>
      <c r="AZ88">
        <v>300</v>
      </c>
      <c r="BA88">
        <v>1</v>
      </c>
      <c r="BB88" t="str">
        <f t="shared" si="5"/>
        <v xml:space="preserve">N162AM  </v>
      </c>
      <c r="BC88">
        <v>1</v>
      </c>
      <c r="BE88">
        <v>0</v>
      </c>
      <c r="BF88">
        <v>0</v>
      </c>
      <c r="BG88">
        <v>0</v>
      </c>
      <c r="BH88">
        <v>1700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"14:42:48.754"</f>
        <v>14:42:48.754</v>
      </c>
      <c r="CJ88">
        <v>2</v>
      </c>
      <c r="CK88">
        <v>2</v>
      </c>
      <c r="CL88">
        <v>0</v>
      </c>
      <c r="CM88">
        <v>2</v>
      </c>
      <c r="CN88">
        <v>0</v>
      </c>
      <c r="CO88">
        <v>5</v>
      </c>
      <c r="CP88" t="s">
        <v>119</v>
      </c>
      <c r="CQ88">
        <v>232</v>
      </c>
      <c r="CR88">
        <v>2</v>
      </c>
      <c r="CW88">
        <v>6036526</v>
      </c>
      <c r="CY88">
        <v>1</v>
      </c>
      <c r="CZ88">
        <v>0</v>
      </c>
      <c r="DA88">
        <v>0</v>
      </c>
      <c r="DB88">
        <v>0</v>
      </c>
      <c r="DC88">
        <v>0</v>
      </c>
      <c r="DD88">
        <v>1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"12/16/2021 14:42:48.960"</f>
        <v>12/16/2021 14:42:48.960</v>
      </c>
      <c r="C89" t="str">
        <f t="shared" si="4"/>
        <v>FFDFD3C0</v>
      </c>
      <c r="D89" t="s">
        <v>124</v>
      </c>
      <c r="E89">
        <v>5</v>
      </c>
      <c r="F89">
        <v>1005</v>
      </c>
      <c r="G89" t="s">
        <v>114</v>
      </c>
      <c r="J89" t="s">
        <v>125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"14:42:48.750"</f>
        <v>14:42:48.750</v>
      </c>
      <c r="T89" t="str">
        <f>"14:42:48.250"</f>
        <v>14:42:48.250</v>
      </c>
      <c r="U89" t="str">
        <f t="shared" si="3"/>
        <v>A0F928</v>
      </c>
      <c r="V89">
        <v>0</v>
      </c>
      <c r="W89">
        <v>0</v>
      </c>
      <c r="X89">
        <v>2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3</v>
      </c>
      <c r="AG89">
        <v>2</v>
      </c>
      <c r="AH89">
        <v>1</v>
      </c>
      <c r="AI89" t="s">
        <v>173</v>
      </c>
      <c r="AJ89">
        <v>35.785131</v>
      </c>
      <c r="AK89" t="s">
        <v>169</v>
      </c>
      <c r="AL89">
        <v>-84.013889000000006</v>
      </c>
      <c r="AM89">
        <v>25</v>
      </c>
      <c r="AN89">
        <v>1450</v>
      </c>
      <c r="AO89" t="s">
        <v>118</v>
      </c>
      <c r="AP89">
        <v>2</v>
      </c>
      <c r="AQ89">
        <v>-134</v>
      </c>
      <c r="AR89">
        <v>1088</v>
      </c>
      <c r="AZ89">
        <v>300</v>
      </c>
      <c r="BA89">
        <v>1</v>
      </c>
      <c r="BB89" t="str">
        <f t="shared" si="5"/>
        <v xml:space="preserve">N162AM  </v>
      </c>
      <c r="BC89">
        <v>1</v>
      </c>
      <c r="BE89">
        <v>0</v>
      </c>
      <c r="BF89">
        <v>0</v>
      </c>
      <c r="BG89">
        <v>0</v>
      </c>
      <c r="BH89">
        <v>1700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"14:42:48.754"</f>
        <v>14:42:48.754</v>
      </c>
      <c r="CJ89">
        <v>3</v>
      </c>
      <c r="CK89">
        <v>2</v>
      </c>
      <c r="CL89">
        <v>0</v>
      </c>
      <c r="CM89">
        <v>2</v>
      </c>
      <c r="CN89">
        <v>0</v>
      </c>
      <c r="CO89">
        <v>5</v>
      </c>
      <c r="CP89" t="s">
        <v>119</v>
      </c>
      <c r="CQ89">
        <v>232</v>
      </c>
      <c r="CR89">
        <v>2</v>
      </c>
      <c r="CW89">
        <v>6036526</v>
      </c>
      <c r="CY89">
        <v>1</v>
      </c>
      <c r="CZ89">
        <v>0</v>
      </c>
      <c r="DA89">
        <v>1</v>
      </c>
      <c r="DB89">
        <v>0</v>
      </c>
      <c r="DC89">
        <v>0</v>
      </c>
      <c r="DD89">
        <v>1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"12/16/2021 14:42:49.023"</f>
        <v>12/16/2021 14:42:49.023</v>
      </c>
      <c r="C90" t="str">
        <f t="shared" si="4"/>
        <v>FFDFD3C0</v>
      </c>
      <c r="D90" t="s">
        <v>133</v>
      </c>
      <c r="E90">
        <v>44</v>
      </c>
      <c r="H90">
        <v>131</v>
      </c>
      <c r="I90" t="s">
        <v>134</v>
      </c>
      <c r="J90" t="s">
        <v>135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"14:42:48.750"</f>
        <v>14:42:48.750</v>
      </c>
      <c r="T90" t="str">
        <f>"14:42:48.250"</f>
        <v>14:42:48.250</v>
      </c>
      <c r="U90" t="str">
        <f t="shared" si="3"/>
        <v>A0F928</v>
      </c>
      <c r="V90">
        <v>0</v>
      </c>
      <c r="W90">
        <v>0</v>
      </c>
      <c r="X90">
        <v>2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3</v>
      </c>
      <c r="AG90">
        <v>2</v>
      </c>
      <c r="AH90">
        <v>1</v>
      </c>
      <c r="AI90" t="s">
        <v>173</v>
      </c>
      <c r="AJ90">
        <v>35.785131</v>
      </c>
      <c r="AK90" t="s">
        <v>169</v>
      </c>
      <c r="AL90">
        <v>-84.013889000000006</v>
      </c>
      <c r="AM90">
        <v>25</v>
      </c>
      <c r="AN90">
        <v>1450</v>
      </c>
      <c r="AO90" t="s">
        <v>118</v>
      </c>
      <c r="AP90">
        <v>2</v>
      </c>
      <c r="AQ90">
        <v>-134</v>
      </c>
      <c r="AR90">
        <v>1088</v>
      </c>
      <c r="AZ90">
        <v>300</v>
      </c>
      <c r="BA90">
        <v>1</v>
      </c>
      <c r="BB90" t="str">
        <f t="shared" si="5"/>
        <v xml:space="preserve">N162AM  </v>
      </c>
      <c r="BC90">
        <v>1</v>
      </c>
      <c r="BE90">
        <v>0</v>
      </c>
      <c r="BF90">
        <v>0</v>
      </c>
      <c r="BG90">
        <v>0</v>
      </c>
      <c r="BH90">
        <v>1700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"14:42:48.754"</f>
        <v>14:42:48.754</v>
      </c>
      <c r="CJ90">
        <v>3</v>
      </c>
      <c r="CK90">
        <v>2</v>
      </c>
      <c r="CL90">
        <v>0</v>
      </c>
      <c r="CM90">
        <v>2</v>
      </c>
      <c r="CN90">
        <v>0</v>
      </c>
      <c r="CO90">
        <v>5</v>
      </c>
      <c r="CP90" t="s">
        <v>119</v>
      </c>
      <c r="CQ90">
        <v>232</v>
      </c>
      <c r="CR90">
        <v>2</v>
      </c>
      <c r="CW90">
        <v>6036526</v>
      </c>
      <c r="CY90">
        <v>1</v>
      </c>
      <c r="CZ90">
        <v>0</v>
      </c>
      <c r="DA90">
        <v>1</v>
      </c>
      <c r="DB90">
        <v>0</v>
      </c>
      <c r="DC90">
        <v>0</v>
      </c>
      <c r="DD90">
        <v>1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"12/16/2021 14:42:49.023"</f>
        <v>12/16/2021 14:42:49.023</v>
      </c>
      <c r="C91" t="str">
        <f t="shared" si="4"/>
        <v>FFDFD3C0</v>
      </c>
      <c r="D91" t="s">
        <v>113</v>
      </c>
      <c r="E91">
        <v>8</v>
      </c>
      <c r="H91">
        <v>176</v>
      </c>
      <c r="I91" t="s">
        <v>114</v>
      </c>
      <c r="J91" t="s">
        <v>115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"14:42:48.750"</f>
        <v>14:42:48.750</v>
      </c>
      <c r="T91" t="str">
        <f>"14:42:48.250"</f>
        <v>14:42:48.250</v>
      </c>
      <c r="U91" t="str">
        <f t="shared" si="3"/>
        <v>A0F928</v>
      </c>
      <c r="V91">
        <v>0</v>
      </c>
      <c r="W91">
        <v>0</v>
      </c>
      <c r="X91">
        <v>2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3</v>
      </c>
      <c r="AG91">
        <v>2</v>
      </c>
      <c r="AH91">
        <v>1</v>
      </c>
      <c r="AI91" t="s">
        <v>173</v>
      </c>
      <c r="AJ91">
        <v>35.785131</v>
      </c>
      <c r="AK91" t="s">
        <v>169</v>
      </c>
      <c r="AL91">
        <v>-84.013889000000006</v>
      </c>
      <c r="AM91">
        <v>25</v>
      </c>
      <c r="AN91">
        <v>1450</v>
      </c>
      <c r="AO91" t="s">
        <v>118</v>
      </c>
      <c r="AP91">
        <v>2</v>
      </c>
      <c r="AQ91">
        <v>-134</v>
      </c>
      <c r="AR91">
        <v>1088</v>
      </c>
      <c r="AZ91">
        <v>300</v>
      </c>
      <c r="BA91">
        <v>1</v>
      </c>
      <c r="BB91" t="str">
        <f t="shared" si="5"/>
        <v xml:space="preserve">N162AM  </v>
      </c>
      <c r="BC91">
        <v>1</v>
      </c>
      <c r="BE91">
        <v>0</v>
      </c>
      <c r="BF91">
        <v>0</v>
      </c>
      <c r="BG91">
        <v>0</v>
      </c>
      <c r="BH91">
        <v>1700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"14:42:48.754"</f>
        <v>14:42:48.754</v>
      </c>
      <c r="CJ91">
        <v>3</v>
      </c>
      <c r="CK91">
        <v>2</v>
      </c>
      <c r="CL91">
        <v>0</v>
      </c>
      <c r="CM91">
        <v>2</v>
      </c>
      <c r="CN91">
        <v>0</v>
      </c>
      <c r="CO91">
        <v>5</v>
      </c>
      <c r="CP91" t="s">
        <v>119</v>
      </c>
      <c r="CQ91">
        <v>232</v>
      </c>
      <c r="CR91">
        <v>2</v>
      </c>
      <c r="CW91">
        <v>6036526</v>
      </c>
      <c r="CY91">
        <v>1</v>
      </c>
      <c r="CZ91">
        <v>0</v>
      </c>
      <c r="DA91">
        <v>1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"12/16/2021 14:42:50.021"</f>
        <v>12/16/2021 14:42:50.021</v>
      </c>
      <c r="C92" t="str">
        <f t="shared" si="4"/>
        <v>FFDFD3C0</v>
      </c>
      <c r="D92" t="s">
        <v>124</v>
      </c>
      <c r="E92">
        <v>5</v>
      </c>
      <c r="F92">
        <v>1005</v>
      </c>
      <c r="G92" t="s">
        <v>114</v>
      </c>
      <c r="J92" t="s">
        <v>125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"14:42:49.813"</f>
        <v>14:42:49.813</v>
      </c>
      <c r="T92" t="str">
        <f>"14:42:49.313"</f>
        <v>14:42:49.313</v>
      </c>
      <c r="U92" t="str">
        <f t="shared" si="3"/>
        <v>A0F928</v>
      </c>
      <c r="V92">
        <v>0</v>
      </c>
      <c r="W92">
        <v>0</v>
      </c>
      <c r="X92">
        <v>2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3</v>
      </c>
      <c r="AG92">
        <v>2</v>
      </c>
      <c r="AH92">
        <v>1</v>
      </c>
      <c r="AI92" t="s">
        <v>174</v>
      </c>
      <c r="AJ92">
        <v>35.784531000000001</v>
      </c>
      <c r="AK92" t="s">
        <v>175</v>
      </c>
      <c r="AL92">
        <v>-84.013824</v>
      </c>
      <c r="AM92">
        <v>25</v>
      </c>
      <c r="AN92">
        <v>1450</v>
      </c>
      <c r="AO92" t="s">
        <v>118</v>
      </c>
      <c r="AP92">
        <v>8</v>
      </c>
      <c r="AQ92">
        <v>-134</v>
      </c>
      <c r="AR92">
        <v>960</v>
      </c>
      <c r="AZ92">
        <v>300</v>
      </c>
      <c r="BA92">
        <v>1</v>
      </c>
      <c r="BB92" t="str">
        <f t="shared" si="5"/>
        <v xml:space="preserve">N162AM  </v>
      </c>
      <c r="BC92">
        <v>1</v>
      </c>
      <c r="BE92">
        <v>0</v>
      </c>
      <c r="BF92">
        <v>0</v>
      </c>
      <c r="BG92">
        <v>0</v>
      </c>
      <c r="BH92">
        <v>1725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"14:42:49.814"</f>
        <v>14:42:49.814</v>
      </c>
      <c r="CJ92">
        <v>3</v>
      </c>
      <c r="CK92">
        <v>2</v>
      </c>
      <c r="CL92">
        <v>0</v>
      </c>
      <c r="CM92">
        <v>2</v>
      </c>
      <c r="CN92">
        <v>0</v>
      </c>
      <c r="CO92">
        <v>5</v>
      </c>
      <c r="CP92" t="s">
        <v>119</v>
      </c>
      <c r="CQ92">
        <v>232</v>
      </c>
      <c r="CR92">
        <v>2</v>
      </c>
      <c r="CW92">
        <v>6038099</v>
      </c>
      <c r="CY92">
        <v>1</v>
      </c>
      <c r="CZ92">
        <v>0</v>
      </c>
      <c r="DA92">
        <v>0</v>
      </c>
      <c r="DB92">
        <v>0</v>
      </c>
      <c r="DC92">
        <v>0</v>
      </c>
      <c r="DD92">
        <v>1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"12/16/2021 14:42:50.052"</f>
        <v>12/16/2021 14:42:50.052</v>
      </c>
      <c r="C93" t="str">
        <f t="shared" si="4"/>
        <v>FFDFD3C0</v>
      </c>
      <c r="D93" t="s">
        <v>133</v>
      </c>
      <c r="E93">
        <v>44</v>
      </c>
      <c r="H93">
        <v>131</v>
      </c>
      <c r="I93" t="s">
        <v>134</v>
      </c>
      <c r="J93" t="s">
        <v>135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"14:42:49.813"</f>
        <v>14:42:49.813</v>
      </c>
      <c r="T93" t="str">
        <f>"14:42:49.313"</f>
        <v>14:42:49.313</v>
      </c>
      <c r="U93" t="str">
        <f t="shared" si="3"/>
        <v>A0F928</v>
      </c>
      <c r="V93">
        <v>0</v>
      </c>
      <c r="W93">
        <v>0</v>
      </c>
      <c r="X93">
        <v>2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3</v>
      </c>
      <c r="AG93">
        <v>2</v>
      </c>
      <c r="AH93">
        <v>1</v>
      </c>
      <c r="AI93" t="s">
        <v>174</v>
      </c>
      <c r="AJ93">
        <v>35.784531000000001</v>
      </c>
      <c r="AK93" t="s">
        <v>175</v>
      </c>
      <c r="AL93">
        <v>-84.013824</v>
      </c>
      <c r="AM93">
        <v>25</v>
      </c>
      <c r="AN93">
        <v>1450</v>
      </c>
      <c r="AO93" t="s">
        <v>118</v>
      </c>
      <c r="AP93">
        <v>8</v>
      </c>
      <c r="AQ93">
        <v>-134</v>
      </c>
      <c r="AR93">
        <v>960</v>
      </c>
      <c r="AZ93">
        <v>300</v>
      </c>
      <c r="BA93">
        <v>1</v>
      </c>
      <c r="BB93" t="str">
        <f t="shared" si="5"/>
        <v xml:space="preserve">N162AM  </v>
      </c>
      <c r="BC93">
        <v>1</v>
      </c>
      <c r="BE93">
        <v>0</v>
      </c>
      <c r="BF93">
        <v>0</v>
      </c>
      <c r="BG93">
        <v>0</v>
      </c>
      <c r="BH93">
        <v>1725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"14:42:49.814"</f>
        <v>14:42:49.814</v>
      </c>
      <c r="CJ93">
        <v>3</v>
      </c>
      <c r="CK93">
        <v>2</v>
      </c>
      <c r="CL93">
        <v>0</v>
      </c>
      <c r="CM93">
        <v>2</v>
      </c>
      <c r="CN93">
        <v>0</v>
      </c>
      <c r="CO93">
        <v>5</v>
      </c>
      <c r="CP93" t="s">
        <v>119</v>
      </c>
      <c r="CQ93">
        <v>232</v>
      </c>
      <c r="CR93">
        <v>2</v>
      </c>
      <c r="CW93">
        <v>6038099</v>
      </c>
      <c r="CY93">
        <v>1</v>
      </c>
      <c r="CZ93">
        <v>0</v>
      </c>
      <c r="DA93">
        <v>1</v>
      </c>
      <c r="DB93">
        <v>0</v>
      </c>
      <c r="DC93">
        <v>0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"12/16/2021 14:42:50.052"</f>
        <v>12/16/2021 14:42:50.052</v>
      </c>
      <c r="C94" t="str">
        <f t="shared" si="4"/>
        <v>FFDFD3C0</v>
      </c>
      <c r="D94" t="s">
        <v>124</v>
      </c>
      <c r="E94">
        <v>10</v>
      </c>
      <c r="F94">
        <v>1010</v>
      </c>
      <c r="G94" t="s">
        <v>130</v>
      </c>
      <c r="J94" t="s">
        <v>125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"14:42:49.813"</f>
        <v>14:42:49.813</v>
      </c>
      <c r="T94" t="str">
        <f>"14:42:49.313"</f>
        <v>14:42:49.313</v>
      </c>
      <c r="U94" t="str">
        <f t="shared" si="3"/>
        <v>A0F928</v>
      </c>
      <c r="V94">
        <v>0</v>
      </c>
      <c r="W94">
        <v>0</v>
      </c>
      <c r="X94">
        <v>2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2</v>
      </c>
      <c r="AH94">
        <v>1</v>
      </c>
      <c r="AI94" t="s">
        <v>174</v>
      </c>
      <c r="AJ94">
        <v>35.784531000000001</v>
      </c>
      <c r="AK94" t="s">
        <v>175</v>
      </c>
      <c r="AL94">
        <v>-84.013824</v>
      </c>
      <c r="AM94">
        <v>25</v>
      </c>
      <c r="AN94">
        <v>1450</v>
      </c>
      <c r="AO94" t="s">
        <v>118</v>
      </c>
      <c r="AP94">
        <v>8</v>
      </c>
      <c r="AQ94">
        <v>-134</v>
      </c>
      <c r="AR94">
        <v>960</v>
      </c>
      <c r="AZ94">
        <v>300</v>
      </c>
      <c r="BA94">
        <v>1</v>
      </c>
      <c r="BB94" t="str">
        <f t="shared" si="5"/>
        <v xml:space="preserve">N162AM  </v>
      </c>
      <c r="BC94">
        <v>1</v>
      </c>
      <c r="BE94">
        <v>0</v>
      </c>
      <c r="BF94">
        <v>0</v>
      </c>
      <c r="BG94">
        <v>0</v>
      </c>
      <c r="BH94">
        <v>1725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"14:42:49.814"</f>
        <v>14:42:49.814</v>
      </c>
      <c r="CJ94">
        <v>2</v>
      </c>
      <c r="CK94">
        <v>2</v>
      </c>
      <c r="CL94">
        <v>0</v>
      </c>
      <c r="CM94">
        <v>2</v>
      </c>
      <c r="CN94">
        <v>0</v>
      </c>
      <c r="CO94">
        <v>5</v>
      </c>
      <c r="CP94" t="s">
        <v>119</v>
      </c>
      <c r="CQ94">
        <v>232</v>
      </c>
      <c r="CR94">
        <v>2</v>
      </c>
      <c r="CW94">
        <v>6038099</v>
      </c>
      <c r="CY94">
        <v>1</v>
      </c>
      <c r="CZ94">
        <v>0</v>
      </c>
      <c r="DA94">
        <v>1</v>
      </c>
      <c r="DB94">
        <v>0</v>
      </c>
      <c r="DC94">
        <v>0</v>
      </c>
      <c r="DD94">
        <v>1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"12/16/2021 14:42:50.114"</f>
        <v>12/16/2021 14:42:50.114</v>
      </c>
      <c r="C95" t="str">
        <f t="shared" si="4"/>
        <v>FFDFD3C0</v>
      </c>
      <c r="D95" t="s">
        <v>113</v>
      </c>
      <c r="E95">
        <v>8</v>
      </c>
      <c r="H95">
        <v>176</v>
      </c>
      <c r="I95" t="s">
        <v>114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"14:42:49.813"</f>
        <v>14:42:49.813</v>
      </c>
      <c r="T95" t="str">
        <f>"14:42:49.313"</f>
        <v>14:42:49.313</v>
      </c>
      <c r="U95" t="str">
        <f t="shared" si="3"/>
        <v>A0F928</v>
      </c>
      <c r="V95">
        <v>0</v>
      </c>
      <c r="W95">
        <v>0</v>
      </c>
      <c r="X95">
        <v>2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3</v>
      </c>
      <c r="AG95">
        <v>2</v>
      </c>
      <c r="AH95">
        <v>1</v>
      </c>
      <c r="AI95" t="s">
        <v>174</v>
      </c>
      <c r="AJ95">
        <v>35.784531000000001</v>
      </c>
      <c r="AK95" t="s">
        <v>175</v>
      </c>
      <c r="AL95">
        <v>-84.013824</v>
      </c>
      <c r="AM95">
        <v>25</v>
      </c>
      <c r="AN95">
        <v>1450</v>
      </c>
      <c r="AO95" t="s">
        <v>118</v>
      </c>
      <c r="AP95">
        <v>8</v>
      </c>
      <c r="AQ95">
        <v>-134</v>
      </c>
      <c r="AR95">
        <v>960</v>
      </c>
      <c r="AZ95">
        <v>300</v>
      </c>
      <c r="BA95">
        <v>1</v>
      </c>
      <c r="BB95" t="str">
        <f t="shared" si="5"/>
        <v xml:space="preserve">N162AM  </v>
      </c>
      <c r="BC95">
        <v>1</v>
      </c>
      <c r="BE95">
        <v>0</v>
      </c>
      <c r="BF95">
        <v>0</v>
      </c>
      <c r="BG95">
        <v>0</v>
      </c>
      <c r="BH95">
        <v>1725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"14:42:49.814"</f>
        <v>14:42:49.814</v>
      </c>
      <c r="CJ95">
        <v>3</v>
      </c>
      <c r="CK95">
        <v>2</v>
      </c>
      <c r="CL95">
        <v>0</v>
      </c>
      <c r="CM95">
        <v>2</v>
      </c>
      <c r="CN95">
        <v>0</v>
      </c>
      <c r="CO95">
        <v>5</v>
      </c>
      <c r="CP95" t="s">
        <v>119</v>
      </c>
      <c r="CQ95">
        <v>232</v>
      </c>
      <c r="CR95">
        <v>2</v>
      </c>
      <c r="CW95">
        <v>6038099</v>
      </c>
      <c r="CY95">
        <v>1</v>
      </c>
      <c r="CZ95">
        <v>0</v>
      </c>
      <c r="DA95">
        <v>1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"12/16/2021 14:42:50.974"</f>
        <v>12/16/2021 14:42:50.974</v>
      </c>
      <c r="C96" t="str">
        <f t="shared" si="4"/>
        <v>FFDFD3C0</v>
      </c>
      <c r="D96" t="s">
        <v>133</v>
      </c>
      <c r="E96">
        <v>44</v>
      </c>
      <c r="H96">
        <v>131</v>
      </c>
      <c r="I96" t="s">
        <v>134</v>
      </c>
      <c r="J96" t="s">
        <v>135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"14:42:50.750"</f>
        <v>14:42:50.750</v>
      </c>
      <c r="T96" t="str">
        <f>"14:42:50.350"</f>
        <v>14:42:50.350</v>
      </c>
      <c r="U96" t="str">
        <f t="shared" si="3"/>
        <v>A0F928</v>
      </c>
      <c r="V96">
        <v>0</v>
      </c>
      <c r="W96">
        <v>0</v>
      </c>
      <c r="X96">
        <v>2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3</v>
      </c>
      <c r="AG96">
        <v>2</v>
      </c>
      <c r="AH96">
        <v>1</v>
      </c>
      <c r="AI96" t="s">
        <v>176</v>
      </c>
      <c r="AJ96">
        <v>35.783929999999998</v>
      </c>
      <c r="AK96" t="s">
        <v>177</v>
      </c>
      <c r="AL96">
        <v>-84.013760000000005</v>
      </c>
      <c r="AM96">
        <v>25</v>
      </c>
      <c r="AN96">
        <v>1475</v>
      </c>
      <c r="AO96" t="s">
        <v>118</v>
      </c>
      <c r="AP96">
        <v>15</v>
      </c>
      <c r="AQ96">
        <v>-133</v>
      </c>
      <c r="AR96">
        <v>1024</v>
      </c>
      <c r="AZ96">
        <v>300</v>
      </c>
      <c r="BA96">
        <v>1</v>
      </c>
      <c r="BB96" t="str">
        <f t="shared" si="5"/>
        <v xml:space="preserve">N162AM  </v>
      </c>
      <c r="BC96">
        <v>1</v>
      </c>
      <c r="BE96">
        <v>0</v>
      </c>
      <c r="BF96">
        <v>0</v>
      </c>
      <c r="BG96">
        <v>0</v>
      </c>
      <c r="BH96">
        <v>1725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"14:42:50.758"</f>
        <v>14:42:50.758</v>
      </c>
      <c r="CJ96">
        <v>3</v>
      </c>
      <c r="CK96">
        <v>2</v>
      </c>
      <c r="CL96">
        <v>0</v>
      </c>
      <c r="CM96">
        <v>2</v>
      </c>
      <c r="CN96">
        <v>0</v>
      </c>
      <c r="CO96">
        <v>4</v>
      </c>
      <c r="CP96" t="s">
        <v>119</v>
      </c>
      <c r="CQ96">
        <v>232</v>
      </c>
      <c r="CR96">
        <v>2</v>
      </c>
      <c r="CW96">
        <v>6039505</v>
      </c>
      <c r="CY96">
        <v>1</v>
      </c>
      <c r="CZ96">
        <v>0</v>
      </c>
      <c r="DA96">
        <v>0</v>
      </c>
      <c r="DB96">
        <v>0</v>
      </c>
      <c r="DC96">
        <v>0</v>
      </c>
      <c r="DD96">
        <v>1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"12/16/2021 14:42:50.974"</f>
        <v>12/16/2021 14:42:50.974</v>
      </c>
      <c r="C97" t="str">
        <f t="shared" si="4"/>
        <v>FFDFD3C0</v>
      </c>
      <c r="D97" t="s">
        <v>124</v>
      </c>
      <c r="E97">
        <v>10</v>
      </c>
      <c r="F97">
        <v>1010</v>
      </c>
      <c r="G97" t="s">
        <v>130</v>
      </c>
      <c r="J97" t="s">
        <v>125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"14:42:50.750"</f>
        <v>14:42:50.750</v>
      </c>
      <c r="T97" t="str">
        <f>"14:42:50.350"</f>
        <v>14:42:50.350</v>
      </c>
      <c r="U97" t="str">
        <f t="shared" si="3"/>
        <v>A0F928</v>
      </c>
      <c r="V97">
        <v>0</v>
      </c>
      <c r="W97">
        <v>0</v>
      </c>
      <c r="X97">
        <v>2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0</v>
      </c>
      <c r="AG97">
        <v>2</v>
      </c>
      <c r="AH97">
        <v>1</v>
      </c>
      <c r="AI97" t="s">
        <v>176</v>
      </c>
      <c r="AJ97">
        <v>35.783929999999998</v>
      </c>
      <c r="AK97" t="s">
        <v>177</v>
      </c>
      <c r="AL97">
        <v>-84.013760000000005</v>
      </c>
      <c r="AM97">
        <v>25</v>
      </c>
      <c r="AN97">
        <v>1475</v>
      </c>
      <c r="AO97" t="s">
        <v>118</v>
      </c>
      <c r="AP97">
        <v>15</v>
      </c>
      <c r="AQ97">
        <v>-133</v>
      </c>
      <c r="AR97">
        <v>1024</v>
      </c>
      <c r="AZ97">
        <v>300</v>
      </c>
      <c r="BA97">
        <v>1</v>
      </c>
      <c r="BB97" t="str">
        <f t="shared" si="5"/>
        <v xml:space="preserve">N162AM  </v>
      </c>
      <c r="BC97">
        <v>1</v>
      </c>
      <c r="BE97">
        <v>0</v>
      </c>
      <c r="BF97">
        <v>0</v>
      </c>
      <c r="BG97">
        <v>0</v>
      </c>
      <c r="BH97">
        <v>1725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>"14:42:50.758"</f>
        <v>14:42:50.758</v>
      </c>
      <c r="CJ97">
        <v>2</v>
      </c>
      <c r="CK97">
        <v>2</v>
      </c>
      <c r="CL97">
        <v>0</v>
      </c>
      <c r="CM97">
        <v>2</v>
      </c>
      <c r="CN97">
        <v>0</v>
      </c>
      <c r="CO97">
        <v>4</v>
      </c>
      <c r="CP97" t="s">
        <v>119</v>
      </c>
      <c r="CQ97">
        <v>232</v>
      </c>
      <c r="CR97">
        <v>2</v>
      </c>
      <c r="CW97">
        <v>6039505</v>
      </c>
      <c r="CY97">
        <v>1</v>
      </c>
      <c r="CZ97">
        <v>0</v>
      </c>
      <c r="DA97">
        <v>1</v>
      </c>
      <c r="DB97">
        <v>0</v>
      </c>
      <c r="DC97">
        <v>0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"12/16/2021 14:42:50.974"</f>
        <v>12/16/2021 14:42:50.974</v>
      </c>
      <c r="C98" t="str">
        <f t="shared" si="4"/>
        <v>FFDFD3C0</v>
      </c>
      <c r="D98" t="s">
        <v>113</v>
      </c>
      <c r="E98">
        <v>8</v>
      </c>
      <c r="H98">
        <v>176</v>
      </c>
      <c r="I98" t="s">
        <v>114</v>
      </c>
      <c r="J98" t="s">
        <v>115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"14:42:50.750"</f>
        <v>14:42:50.750</v>
      </c>
      <c r="T98" t="str">
        <f>"14:42:50.350"</f>
        <v>14:42:50.350</v>
      </c>
      <c r="U98" t="str">
        <f t="shared" si="3"/>
        <v>A0F928</v>
      </c>
      <c r="V98">
        <v>0</v>
      </c>
      <c r="W98">
        <v>0</v>
      </c>
      <c r="X98">
        <v>2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3</v>
      </c>
      <c r="AG98">
        <v>2</v>
      </c>
      <c r="AH98">
        <v>1</v>
      </c>
      <c r="AI98" t="s">
        <v>176</v>
      </c>
      <c r="AJ98">
        <v>35.783929999999998</v>
      </c>
      <c r="AK98" t="s">
        <v>177</v>
      </c>
      <c r="AL98">
        <v>-84.013760000000005</v>
      </c>
      <c r="AM98">
        <v>25</v>
      </c>
      <c r="AN98">
        <v>1475</v>
      </c>
      <c r="AO98" t="s">
        <v>118</v>
      </c>
      <c r="AP98">
        <v>15</v>
      </c>
      <c r="AQ98">
        <v>-133</v>
      </c>
      <c r="AR98">
        <v>1024</v>
      </c>
      <c r="AZ98">
        <v>300</v>
      </c>
      <c r="BA98">
        <v>1</v>
      </c>
      <c r="BB98" t="str">
        <f t="shared" si="5"/>
        <v xml:space="preserve">N162AM  </v>
      </c>
      <c r="BC98">
        <v>1</v>
      </c>
      <c r="BE98">
        <v>0</v>
      </c>
      <c r="BF98">
        <v>0</v>
      </c>
      <c r="BG98">
        <v>0</v>
      </c>
      <c r="BH98">
        <v>1725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>"14:42:50.758"</f>
        <v>14:42:50.758</v>
      </c>
      <c r="CJ98">
        <v>3</v>
      </c>
      <c r="CK98">
        <v>2</v>
      </c>
      <c r="CL98">
        <v>0</v>
      </c>
      <c r="CM98">
        <v>2</v>
      </c>
      <c r="CN98">
        <v>0</v>
      </c>
      <c r="CO98">
        <v>4</v>
      </c>
      <c r="CP98" t="s">
        <v>119</v>
      </c>
      <c r="CQ98">
        <v>232</v>
      </c>
      <c r="CR98">
        <v>2</v>
      </c>
      <c r="CW98">
        <v>6039505</v>
      </c>
      <c r="CY98">
        <v>1</v>
      </c>
      <c r="CZ98">
        <v>0</v>
      </c>
      <c r="DA98">
        <v>1</v>
      </c>
      <c r="DB98">
        <v>0</v>
      </c>
      <c r="DC98">
        <v>0</v>
      </c>
      <c r="DD98">
        <v>1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"12/16/2021 14:42:50.974"</f>
        <v>12/16/2021 14:42:50.974</v>
      </c>
      <c r="C99" t="str">
        <f t="shared" si="4"/>
        <v>FFDFD3C0</v>
      </c>
      <c r="D99" t="s">
        <v>124</v>
      </c>
      <c r="E99">
        <v>5</v>
      </c>
      <c r="F99">
        <v>1005</v>
      </c>
      <c r="G99" t="s">
        <v>114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"14:42:50.750"</f>
        <v>14:42:50.750</v>
      </c>
      <c r="T99" t="str">
        <f>"14:42:50.350"</f>
        <v>14:42:50.350</v>
      </c>
      <c r="U99" t="str">
        <f t="shared" si="3"/>
        <v>A0F928</v>
      </c>
      <c r="V99">
        <v>0</v>
      </c>
      <c r="W99">
        <v>0</v>
      </c>
      <c r="X99">
        <v>2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3</v>
      </c>
      <c r="AG99">
        <v>2</v>
      </c>
      <c r="AH99">
        <v>1</v>
      </c>
      <c r="AI99" t="s">
        <v>176</v>
      </c>
      <c r="AJ99">
        <v>35.783929999999998</v>
      </c>
      <c r="AK99" t="s">
        <v>177</v>
      </c>
      <c r="AL99">
        <v>-84.013760000000005</v>
      </c>
      <c r="AM99">
        <v>25</v>
      </c>
      <c r="AN99">
        <v>1475</v>
      </c>
      <c r="AO99" t="s">
        <v>118</v>
      </c>
      <c r="AP99">
        <v>15</v>
      </c>
      <c r="AQ99">
        <v>-133</v>
      </c>
      <c r="AR99">
        <v>1024</v>
      </c>
      <c r="AZ99">
        <v>300</v>
      </c>
      <c r="BA99">
        <v>1</v>
      </c>
      <c r="BB99" t="str">
        <f t="shared" si="5"/>
        <v xml:space="preserve">N162AM  </v>
      </c>
      <c r="BC99">
        <v>1</v>
      </c>
      <c r="BE99">
        <v>0</v>
      </c>
      <c r="BF99">
        <v>0</v>
      </c>
      <c r="BG99">
        <v>0</v>
      </c>
      <c r="BH99">
        <v>1725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>"14:42:50.758"</f>
        <v>14:42:50.758</v>
      </c>
      <c r="CJ99">
        <v>3</v>
      </c>
      <c r="CK99">
        <v>2</v>
      </c>
      <c r="CL99">
        <v>0</v>
      </c>
      <c r="CM99">
        <v>2</v>
      </c>
      <c r="CN99">
        <v>0</v>
      </c>
      <c r="CO99">
        <v>4</v>
      </c>
      <c r="CP99" t="s">
        <v>119</v>
      </c>
      <c r="CQ99">
        <v>232</v>
      </c>
      <c r="CR99">
        <v>2</v>
      </c>
      <c r="CW99">
        <v>6039505</v>
      </c>
      <c r="CY99">
        <v>1</v>
      </c>
      <c r="CZ99">
        <v>0</v>
      </c>
      <c r="DA99">
        <v>1</v>
      </c>
      <c r="DB99">
        <v>0</v>
      </c>
      <c r="DC99">
        <v>0</v>
      </c>
      <c r="DD99">
        <v>1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"12/16/2021 14:42:51.865"</f>
        <v>12/16/2021 14:42:51.865</v>
      </c>
      <c r="C100" t="str">
        <f t="shared" si="4"/>
        <v>FFDFD3C0</v>
      </c>
      <c r="D100" t="s">
        <v>124</v>
      </c>
      <c r="E100">
        <v>10</v>
      </c>
      <c r="F100">
        <v>1010</v>
      </c>
      <c r="G100" t="s">
        <v>130</v>
      </c>
      <c r="J100" t="s">
        <v>125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"14:42:51.688"</f>
        <v>14:42:51.688</v>
      </c>
      <c r="T100" t="str">
        <f>"14:42:51.188"</f>
        <v>14:42:51.188</v>
      </c>
      <c r="U100" t="str">
        <f t="shared" si="3"/>
        <v>A0F928</v>
      </c>
      <c r="V100">
        <v>0</v>
      </c>
      <c r="W100">
        <v>0</v>
      </c>
      <c r="X100">
        <v>2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0</v>
      </c>
      <c r="AG100">
        <v>2</v>
      </c>
      <c r="AH100">
        <v>1</v>
      </c>
      <c r="AI100" t="s">
        <v>178</v>
      </c>
      <c r="AJ100">
        <v>35.783349999999999</v>
      </c>
      <c r="AK100" t="s">
        <v>179</v>
      </c>
      <c r="AL100">
        <v>-84.01361</v>
      </c>
      <c r="AM100">
        <v>25</v>
      </c>
      <c r="AN100">
        <v>1500</v>
      </c>
      <c r="AO100" t="s">
        <v>118</v>
      </c>
      <c r="AP100">
        <v>21</v>
      </c>
      <c r="AQ100">
        <v>-132</v>
      </c>
      <c r="AR100">
        <v>1024</v>
      </c>
      <c r="AZ100">
        <v>300</v>
      </c>
      <c r="BA100">
        <v>1</v>
      </c>
      <c r="BB100" t="str">
        <f t="shared" si="5"/>
        <v xml:space="preserve">N162AM  </v>
      </c>
      <c r="BC100">
        <v>1</v>
      </c>
      <c r="BE100">
        <v>0</v>
      </c>
      <c r="BF100">
        <v>0</v>
      </c>
      <c r="BG100">
        <v>0</v>
      </c>
      <c r="BH100">
        <v>1750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>"14:42:51.695"</f>
        <v>14:42:51.695</v>
      </c>
      <c r="CJ100">
        <v>2</v>
      </c>
      <c r="CK100">
        <v>2</v>
      </c>
      <c r="CL100">
        <v>0</v>
      </c>
      <c r="CM100">
        <v>2</v>
      </c>
      <c r="CN100">
        <v>0</v>
      </c>
      <c r="CO100">
        <v>4</v>
      </c>
      <c r="CP100" t="s">
        <v>119</v>
      </c>
      <c r="CQ100">
        <v>232</v>
      </c>
      <c r="CR100">
        <v>1</v>
      </c>
      <c r="CW100">
        <v>14839814</v>
      </c>
      <c r="CY100">
        <v>1</v>
      </c>
      <c r="CZ100">
        <v>0</v>
      </c>
      <c r="DA100">
        <v>0</v>
      </c>
      <c r="DB100">
        <v>0</v>
      </c>
      <c r="DC100">
        <v>0</v>
      </c>
      <c r="DD100">
        <v>1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"12/16/2021 14:42:51.896"</f>
        <v>12/16/2021 14:42:51.896</v>
      </c>
      <c r="C101" t="str">
        <f t="shared" si="4"/>
        <v>FFDFD3C0</v>
      </c>
      <c r="D101" t="s">
        <v>133</v>
      </c>
      <c r="E101">
        <v>44</v>
      </c>
      <c r="H101">
        <v>131</v>
      </c>
      <c r="I101" t="s">
        <v>134</v>
      </c>
      <c r="J101" t="s">
        <v>135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"14:42:51.688"</f>
        <v>14:42:51.688</v>
      </c>
      <c r="T101" t="str">
        <f>"14:42:51.188"</f>
        <v>14:42:51.188</v>
      </c>
      <c r="U101" t="str">
        <f t="shared" si="3"/>
        <v>A0F928</v>
      </c>
      <c r="V101">
        <v>0</v>
      </c>
      <c r="W101">
        <v>0</v>
      </c>
      <c r="X101">
        <v>2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3</v>
      </c>
      <c r="AG101">
        <v>2</v>
      </c>
      <c r="AH101">
        <v>1</v>
      </c>
      <c r="AI101" t="s">
        <v>178</v>
      </c>
      <c r="AJ101">
        <v>35.783349999999999</v>
      </c>
      <c r="AK101" t="s">
        <v>179</v>
      </c>
      <c r="AL101">
        <v>-84.01361</v>
      </c>
      <c r="AM101">
        <v>25</v>
      </c>
      <c r="AN101">
        <v>1500</v>
      </c>
      <c r="AO101" t="s">
        <v>118</v>
      </c>
      <c r="AP101">
        <v>21</v>
      </c>
      <c r="AQ101">
        <v>-132</v>
      </c>
      <c r="AR101">
        <v>1024</v>
      </c>
      <c r="AZ101">
        <v>300</v>
      </c>
      <c r="BA101">
        <v>1</v>
      </c>
      <c r="BB101" t="str">
        <f t="shared" si="5"/>
        <v xml:space="preserve">N162AM  </v>
      </c>
      <c r="BC101">
        <v>1</v>
      </c>
      <c r="BE101">
        <v>0</v>
      </c>
      <c r="BF101">
        <v>0</v>
      </c>
      <c r="BG101">
        <v>0</v>
      </c>
      <c r="BH101">
        <v>1750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>"14:42:51.695"</f>
        <v>14:42:51.695</v>
      </c>
      <c r="CJ101">
        <v>3</v>
      </c>
      <c r="CK101">
        <v>2</v>
      </c>
      <c r="CL101">
        <v>0</v>
      </c>
      <c r="CM101">
        <v>2</v>
      </c>
      <c r="CN101">
        <v>0</v>
      </c>
      <c r="CO101">
        <v>4</v>
      </c>
      <c r="CP101" t="s">
        <v>119</v>
      </c>
      <c r="CQ101">
        <v>232</v>
      </c>
      <c r="CR101">
        <v>1</v>
      </c>
      <c r="CW101">
        <v>14839814</v>
      </c>
      <c r="CY101">
        <v>1</v>
      </c>
      <c r="CZ101">
        <v>0</v>
      </c>
      <c r="DA101">
        <v>1</v>
      </c>
      <c r="DB101">
        <v>0</v>
      </c>
      <c r="DC101">
        <v>0</v>
      </c>
      <c r="DD101">
        <v>1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"12/16/2021 14:42:51.896"</f>
        <v>12/16/2021 14:42:51.896</v>
      </c>
      <c r="C102" t="str">
        <f t="shared" si="4"/>
        <v>FFDFD3C0</v>
      </c>
      <c r="D102" t="s">
        <v>113</v>
      </c>
      <c r="E102">
        <v>8</v>
      </c>
      <c r="H102">
        <v>176</v>
      </c>
      <c r="I102" t="s">
        <v>114</v>
      </c>
      <c r="J102" t="s">
        <v>115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"14:42:51.688"</f>
        <v>14:42:51.688</v>
      </c>
      <c r="T102" t="str">
        <f>"14:42:51.188"</f>
        <v>14:42:51.188</v>
      </c>
      <c r="U102" t="str">
        <f t="shared" si="3"/>
        <v>A0F928</v>
      </c>
      <c r="V102">
        <v>0</v>
      </c>
      <c r="W102">
        <v>0</v>
      </c>
      <c r="X102">
        <v>2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3</v>
      </c>
      <c r="AG102">
        <v>2</v>
      </c>
      <c r="AH102">
        <v>1</v>
      </c>
      <c r="AI102" t="s">
        <v>178</v>
      </c>
      <c r="AJ102">
        <v>35.783349999999999</v>
      </c>
      <c r="AK102" t="s">
        <v>179</v>
      </c>
      <c r="AL102">
        <v>-84.01361</v>
      </c>
      <c r="AM102">
        <v>25</v>
      </c>
      <c r="AN102">
        <v>1500</v>
      </c>
      <c r="AO102" t="s">
        <v>118</v>
      </c>
      <c r="AP102">
        <v>21</v>
      </c>
      <c r="AQ102">
        <v>-132</v>
      </c>
      <c r="AR102">
        <v>1024</v>
      </c>
      <c r="AZ102">
        <v>300</v>
      </c>
      <c r="BA102">
        <v>1</v>
      </c>
      <c r="BB102" t="str">
        <f t="shared" si="5"/>
        <v xml:space="preserve">N162AM  </v>
      </c>
      <c r="BC102">
        <v>1</v>
      </c>
      <c r="BE102">
        <v>0</v>
      </c>
      <c r="BF102">
        <v>0</v>
      </c>
      <c r="BG102">
        <v>0</v>
      </c>
      <c r="BH102">
        <v>1750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>"14:42:51.695"</f>
        <v>14:42:51.695</v>
      </c>
      <c r="CJ102">
        <v>3</v>
      </c>
      <c r="CK102">
        <v>2</v>
      </c>
      <c r="CL102">
        <v>0</v>
      </c>
      <c r="CM102">
        <v>2</v>
      </c>
      <c r="CN102">
        <v>0</v>
      </c>
      <c r="CO102">
        <v>4</v>
      </c>
      <c r="CP102" t="s">
        <v>119</v>
      </c>
      <c r="CQ102">
        <v>232</v>
      </c>
      <c r="CR102">
        <v>1</v>
      </c>
      <c r="CW102">
        <v>14839814</v>
      </c>
      <c r="CY102">
        <v>1</v>
      </c>
      <c r="CZ102">
        <v>0</v>
      </c>
      <c r="DA102">
        <v>1</v>
      </c>
      <c r="DB102">
        <v>0</v>
      </c>
      <c r="DC102">
        <v>0</v>
      </c>
      <c r="DD102">
        <v>1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"12/16/2021 14:42:51.911"</f>
        <v>12/16/2021 14:42:51.911</v>
      </c>
      <c r="C103" t="str">
        <f t="shared" si="4"/>
        <v>FFDFD3C0</v>
      </c>
      <c r="D103" t="s">
        <v>124</v>
      </c>
      <c r="E103">
        <v>5</v>
      </c>
      <c r="F103">
        <v>1005</v>
      </c>
      <c r="G103" t="s">
        <v>114</v>
      </c>
      <c r="J103" t="s">
        <v>125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"14:42:51.688"</f>
        <v>14:42:51.688</v>
      </c>
      <c r="T103" t="str">
        <f>"14:42:51.188"</f>
        <v>14:42:51.188</v>
      </c>
      <c r="U103" t="str">
        <f t="shared" si="3"/>
        <v>A0F928</v>
      </c>
      <c r="V103">
        <v>0</v>
      </c>
      <c r="W103">
        <v>0</v>
      </c>
      <c r="X103">
        <v>2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3</v>
      </c>
      <c r="AG103">
        <v>2</v>
      </c>
      <c r="AH103">
        <v>1</v>
      </c>
      <c r="AI103" t="s">
        <v>178</v>
      </c>
      <c r="AJ103">
        <v>35.783349999999999</v>
      </c>
      <c r="AK103" t="s">
        <v>179</v>
      </c>
      <c r="AL103">
        <v>-84.01361</v>
      </c>
      <c r="AM103">
        <v>25</v>
      </c>
      <c r="AN103">
        <v>1500</v>
      </c>
      <c r="AO103" t="s">
        <v>118</v>
      </c>
      <c r="AP103">
        <v>21</v>
      </c>
      <c r="AQ103">
        <v>-132</v>
      </c>
      <c r="AR103">
        <v>1024</v>
      </c>
      <c r="AZ103">
        <v>300</v>
      </c>
      <c r="BA103">
        <v>1</v>
      </c>
      <c r="BB103" t="str">
        <f t="shared" si="5"/>
        <v xml:space="preserve">N162AM  </v>
      </c>
      <c r="BC103">
        <v>1</v>
      </c>
      <c r="BE103">
        <v>0</v>
      </c>
      <c r="BF103">
        <v>0</v>
      </c>
      <c r="BG103">
        <v>0</v>
      </c>
      <c r="BH103">
        <v>1750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>"14:42:51.695"</f>
        <v>14:42:51.695</v>
      </c>
      <c r="CJ103">
        <v>3</v>
      </c>
      <c r="CK103">
        <v>2</v>
      </c>
      <c r="CL103">
        <v>0</v>
      </c>
      <c r="CM103">
        <v>2</v>
      </c>
      <c r="CN103">
        <v>0</v>
      </c>
      <c r="CO103">
        <v>4</v>
      </c>
      <c r="CP103" t="s">
        <v>119</v>
      </c>
      <c r="CQ103">
        <v>232</v>
      </c>
      <c r="CR103">
        <v>1</v>
      </c>
      <c r="CW103">
        <v>14839814</v>
      </c>
      <c r="CY103">
        <v>1</v>
      </c>
      <c r="CZ103">
        <v>0</v>
      </c>
      <c r="DA103">
        <v>1</v>
      </c>
      <c r="DB103">
        <v>0</v>
      </c>
      <c r="DC103">
        <v>0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"12/16/2021 14:42:53.458"</f>
        <v>12/16/2021 14:42:53.458</v>
      </c>
      <c r="C104" t="str">
        <f t="shared" si="4"/>
        <v>FFDFD3C0</v>
      </c>
      <c r="D104" t="s">
        <v>133</v>
      </c>
      <c r="E104">
        <v>44</v>
      </c>
      <c r="H104">
        <v>131</v>
      </c>
      <c r="I104" t="s">
        <v>134</v>
      </c>
      <c r="J104" t="s">
        <v>135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"14:42:53.227"</f>
        <v>14:42:53.227</v>
      </c>
      <c r="T104" t="str">
        <f>"14:42:51.727"</f>
        <v>14:42:51.727</v>
      </c>
      <c r="U104" t="str">
        <f t="shared" si="3"/>
        <v>A0F928</v>
      </c>
      <c r="V104">
        <v>0</v>
      </c>
      <c r="W104">
        <v>0</v>
      </c>
      <c r="X104">
        <v>2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3</v>
      </c>
      <c r="AG104">
        <v>2</v>
      </c>
      <c r="AH104">
        <v>1</v>
      </c>
      <c r="AI104" t="s">
        <v>180</v>
      </c>
      <c r="AJ104">
        <v>35.782428000000003</v>
      </c>
      <c r="AK104" t="s">
        <v>181</v>
      </c>
      <c r="AL104">
        <v>-84.013373999999999</v>
      </c>
      <c r="AM104">
        <v>25</v>
      </c>
      <c r="AN104">
        <v>1525</v>
      </c>
      <c r="AO104" t="s">
        <v>118</v>
      </c>
      <c r="AP104">
        <v>24</v>
      </c>
      <c r="AQ104">
        <v>-132</v>
      </c>
      <c r="AR104">
        <v>1024</v>
      </c>
      <c r="AZ104">
        <v>300</v>
      </c>
      <c r="BA104">
        <v>1</v>
      </c>
      <c r="BB104" t="str">
        <f t="shared" si="5"/>
        <v xml:space="preserve">N162AM  </v>
      </c>
      <c r="BC104">
        <v>1</v>
      </c>
      <c r="BE104">
        <v>0</v>
      </c>
      <c r="BF104">
        <v>0</v>
      </c>
      <c r="BG104">
        <v>0</v>
      </c>
      <c r="BH104">
        <v>1750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>"14:42:53.227"</f>
        <v>14:42:53.227</v>
      </c>
      <c r="CJ104">
        <v>3</v>
      </c>
      <c r="CK104">
        <v>2</v>
      </c>
      <c r="CL104">
        <v>0</v>
      </c>
      <c r="CM104">
        <v>2</v>
      </c>
      <c r="CN104">
        <v>0</v>
      </c>
      <c r="CO104">
        <v>4</v>
      </c>
      <c r="CP104" t="s">
        <v>119</v>
      </c>
      <c r="CQ104">
        <v>232</v>
      </c>
      <c r="CR104">
        <v>2</v>
      </c>
      <c r="CW104">
        <v>6043281</v>
      </c>
      <c r="CY104">
        <v>1</v>
      </c>
      <c r="CZ104">
        <v>0</v>
      </c>
      <c r="DA104">
        <v>0</v>
      </c>
      <c r="DB104">
        <v>0</v>
      </c>
      <c r="DC104">
        <v>0</v>
      </c>
      <c r="DD104">
        <v>1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"12/16/2021 14:42:53.537"</f>
        <v>12/16/2021 14:42:53.537</v>
      </c>
      <c r="C105" t="str">
        <f t="shared" si="4"/>
        <v>FFDFD3C0</v>
      </c>
      <c r="D105" t="s">
        <v>124</v>
      </c>
      <c r="E105">
        <v>5</v>
      </c>
      <c r="F105">
        <v>1005</v>
      </c>
      <c r="G105" t="s">
        <v>114</v>
      </c>
      <c r="J105" t="s">
        <v>125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"14:42:53.227"</f>
        <v>14:42:53.227</v>
      </c>
      <c r="T105" t="str">
        <f>"14:42:51.727"</f>
        <v>14:42:51.727</v>
      </c>
      <c r="U105" t="str">
        <f t="shared" si="3"/>
        <v>A0F928</v>
      </c>
      <c r="V105">
        <v>0</v>
      </c>
      <c r="W105">
        <v>0</v>
      </c>
      <c r="X105">
        <v>2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3</v>
      </c>
      <c r="AG105">
        <v>2</v>
      </c>
      <c r="AH105">
        <v>1</v>
      </c>
      <c r="AI105" t="s">
        <v>180</v>
      </c>
      <c r="AJ105">
        <v>35.782428000000003</v>
      </c>
      <c r="AK105" t="s">
        <v>181</v>
      </c>
      <c r="AL105">
        <v>-84.013373999999999</v>
      </c>
      <c r="AM105">
        <v>25</v>
      </c>
      <c r="AN105">
        <v>1525</v>
      </c>
      <c r="AO105" t="s">
        <v>118</v>
      </c>
      <c r="AP105">
        <v>24</v>
      </c>
      <c r="AQ105">
        <v>-132</v>
      </c>
      <c r="AR105">
        <v>1024</v>
      </c>
      <c r="AZ105">
        <v>300</v>
      </c>
      <c r="BA105">
        <v>1</v>
      </c>
      <c r="BB105" t="str">
        <f t="shared" si="5"/>
        <v xml:space="preserve">N162AM  </v>
      </c>
      <c r="BC105">
        <v>1</v>
      </c>
      <c r="BE105">
        <v>0</v>
      </c>
      <c r="BF105">
        <v>0</v>
      </c>
      <c r="BG105">
        <v>0</v>
      </c>
      <c r="BH105">
        <v>1750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>"14:42:53.227"</f>
        <v>14:42:53.227</v>
      </c>
      <c r="CJ105">
        <v>3</v>
      </c>
      <c r="CK105">
        <v>2</v>
      </c>
      <c r="CL105">
        <v>0</v>
      </c>
      <c r="CM105">
        <v>2</v>
      </c>
      <c r="CN105">
        <v>0</v>
      </c>
      <c r="CO105">
        <v>4</v>
      </c>
      <c r="CP105" t="s">
        <v>119</v>
      </c>
      <c r="CQ105">
        <v>232</v>
      </c>
      <c r="CR105">
        <v>2</v>
      </c>
      <c r="CW105">
        <v>6043281</v>
      </c>
      <c r="CY105">
        <v>1</v>
      </c>
      <c r="CZ105">
        <v>0</v>
      </c>
      <c r="DA105">
        <v>1</v>
      </c>
      <c r="DB105">
        <v>0</v>
      </c>
      <c r="DC105">
        <v>0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"12/16/2021 14:42:53.537"</f>
        <v>12/16/2021 14:42:53.537</v>
      </c>
      <c r="C106" t="str">
        <f t="shared" si="4"/>
        <v>FFDFD3C0</v>
      </c>
      <c r="D106" t="s">
        <v>113</v>
      </c>
      <c r="E106">
        <v>8</v>
      </c>
      <c r="H106">
        <v>176</v>
      </c>
      <c r="I106" t="s">
        <v>114</v>
      </c>
      <c r="J106" t="s">
        <v>115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"14:42:53.227"</f>
        <v>14:42:53.227</v>
      </c>
      <c r="T106" t="str">
        <f>"14:42:51.727"</f>
        <v>14:42:51.727</v>
      </c>
      <c r="U106" t="str">
        <f t="shared" si="3"/>
        <v>A0F928</v>
      </c>
      <c r="V106">
        <v>0</v>
      </c>
      <c r="W106">
        <v>0</v>
      </c>
      <c r="X106">
        <v>2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3</v>
      </c>
      <c r="AG106">
        <v>2</v>
      </c>
      <c r="AH106">
        <v>1</v>
      </c>
      <c r="AI106" t="s">
        <v>180</v>
      </c>
      <c r="AJ106">
        <v>35.782428000000003</v>
      </c>
      <c r="AK106" t="s">
        <v>181</v>
      </c>
      <c r="AL106">
        <v>-84.013373999999999</v>
      </c>
      <c r="AM106">
        <v>25</v>
      </c>
      <c r="AN106">
        <v>1525</v>
      </c>
      <c r="AO106" t="s">
        <v>118</v>
      </c>
      <c r="AP106">
        <v>24</v>
      </c>
      <c r="AQ106">
        <v>-132</v>
      </c>
      <c r="AR106">
        <v>1024</v>
      </c>
      <c r="AZ106">
        <v>300</v>
      </c>
      <c r="BA106">
        <v>1</v>
      </c>
      <c r="BB106" t="str">
        <f t="shared" si="5"/>
        <v xml:space="preserve">N162AM  </v>
      </c>
      <c r="BC106">
        <v>1</v>
      </c>
      <c r="BE106">
        <v>0</v>
      </c>
      <c r="BF106">
        <v>0</v>
      </c>
      <c r="BG106">
        <v>0</v>
      </c>
      <c r="BH106">
        <v>1750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>"14:42:53.227"</f>
        <v>14:42:53.227</v>
      </c>
      <c r="CJ106">
        <v>3</v>
      </c>
      <c r="CK106">
        <v>2</v>
      </c>
      <c r="CL106">
        <v>0</v>
      </c>
      <c r="CM106">
        <v>2</v>
      </c>
      <c r="CN106">
        <v>0</v>
      </c>
      <c r="CO106">
        <v>4</v>
      </c>
      <c r="CP106" t="s">
        <v>119</v>
      </c>
      <c r="CQ106">
        <v>232</v>
      </c>
      <c r="CR106">
        <v>2</v>
      </c>
      <c r="CW106">
        <v>6043281</v>
      </c>
      <c r="CY106">
        <v>1</v>
      </c>
      <c r="CZ106">
        <v>0</v>
      </c>
      <c r="DA106">
        <v>1</v>
      </c>
      <c r="DB106">
        <v>0</v>
      </c>
      <c r="DC106">
        <v>0</v>
      </c>
      <c r="DD106">
        <v>1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"12/16/2021 14:42:53.552"</f>
        <v>12/16/2021 14:42:53.552</v>
      </c>
      <c r="C107" t="str">
        <f t="shared" si="4"/>
        <v>FFDFD3C0</v>
      </c>
      <c r="D107" t="s">
        <v>124</v>
      </c>
      <c r="E107">
        <v>10</v>
      </c>
      <c r="F107">
        <v>1010</v>
      </c>
      <c r="G107" t="s">
        <v>130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"14:42:53.227"</f>
        <v>14:42:53.227</v>
      </c>
      <c r="T107" t="str">
        <f>"14:42:51.727"</f>
        <v>14:42:51.727</v>
      </c>
      <c r="U107" t="str">
        <f t="shared" si="3"/>
        <v>A0F928</v>
      </c>
      <c r="V107">
        <v>0</v>
      </c>
      <c r="W107">
        <v>0</v>
      </c>
      <c r="X107">
        <v>2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0</v>
      </c>
      <c r="AG107">
        <v>2</v>
      </c>
      <c r="AH107">
        <v>1</v>
      </c>
      <c r="AI107" t="s">
        <v>180</v>
      </c>
      <c r="AJ107">
        <v>35.782428000000003</v>
      </c>
      <c r="AK107" t="s">
        <v>181</v>
      </c>
      <c r="AL107">
        <v>-84.013373999999999</v>
      </c>
      <c r="AM107">
        <v>25</v>
      </c>
      <c r="AN107">
        <v>1525</v>
      </c>
      <c r="AO107" t="s">
        <v>118</v>
      </c>
      <c r="AP107">
        <v>24</v>
      </c>
      <c r="AQ107">
        <v>-132</v>
      </c>
      <c r="AR107">
        <v>1024</v>
      </c>
      <c r="AZ107">
        <v>300</v>
      </c>
      <c r="BA107">
        <v>1</v>
      </c>
      <c r="BB107" t="str">
        <f t="shared" si="5"/>
        <v xml:space="preserve">N162AM  </v>
      </c>
      <c r="BC107">
        <v>1</v>
      </c>
      <c r="BE107">
        <v>0</v>
      </c>
      <c r="BF107">
        <v>0</v>
      </c>
      <c r="BG107">
        <v>0</v>
      </c>
      <c r="BH107">
        <v>1750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>"14:42:53.227"</f>
        <v>14:42:53.227</v>
      </c>
      <c r="CJ107">
        <v>2</v>
      </c>
      <c r="CK107">
        <v>2</v>
      </c>
      <c r="CL107">
        <v>0</v>
      </c>
      <c r="CM107">
        <v>2</v>
      </c>
      <c r="CN107">
        <v>0</v>
      </c>
      <c r="CO107">
        <v>4</v>
      </c>
      <c r="CP107" t="s">
        <v>119</v>
      </c>
      <c r="CQ107">
        <v>232</v>
      </c>
      <c r="CR107">
        <v>2</v>
      </c>
      <c r="CW107">
        <v>6043281</v>
      </c>
      <c r="CY107">
        <v>1</v>
      </c>
      <c r="CZ107">
        <v>0</v>
      </c>
      <c r="DA107">
        <v>1</v>
      </c>
      <c r="DB107">
        <v>0</v>
      </c>
      <c r="DC107">
        <v>0</v>
      </c>
      <c r="DD107">
        <v>1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"12/16/2021 14:42:54.506"</f>
        <v>12/16/2021 14:42:54.506</v>
      </c>
      <c r="C108" t="str">
        <f t="shared" si="4"/>
        <v>FFDFD3C0</v>
      </c>
      <c r="D108" t="s">
        <v>113</v>
      </c>
      <c r="E108">
        <v>8</v>
      </c>
      <c r="H108">
        <v>176</v>
      </c>
      <c r="I108" t="s">
        <v>114</v>
      </c>
      <c r="J108" t="s">
        <v>115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"14:42:54.305"</f>
        <v>14:42:54.305</v>
      </c>
      <c r="T108" t="str">
        <f>"14:42:53.805"</f>
        <v>14:42:53.805</v>
      </c>
      <c r="U108" t="str">
        <f t="shared" si="3"/>
        <v>A0F928</v>
      </c>
      <c r="V108">
        <v>0</v>
      </c>
      <c r="W108">
        <v>0</v>
      </c>
      <c r="X108">
        <v>2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3</v>
      </c>
      <c r="AG108">
        <v>2</v>
      </c>
      <c r="AH108">
        <v>1</v>
      </c>
      <c r="AI108" t="s">
        <v>182</v>
      </c>
      <c r="AJ108">
        <v>35.781827</v>
      </c>
      <c r="AK108" t="s">
        <v>183</v>
      </c>
      <c r="AL108">
        <v>-84.013159000000002</v>
      </c>
      <c r="AM108">
        <v>25</v>
      </c>
      <c r="AN108">
        <v>1550</v>
      </c>
      <c r="AO108" t="s">
        <v>118</v>
      </c>
      <c r="AP108">
        <v>37</v>
      </c>
      <c r="AQ108">
        <v>-129</v>
      </c>
      <c r="AR108">
        <v>896</v>
      </c>
      <c r="AZ108">
        <v>300</v>
      </c>
      <c r="BA108">
        <v>1</v>
      </c>
      <c r="BB108" t="str">
        <f t="shared" si="5"/>
        <v xml:space="preserve">N162AM  </v>
      </c>
      <c r="BC108">
        <v>1</v>
      </c>
      <c r="BE108">
        <v>0</v>
      </c>
      <c r="BF108">
        <v>0</v>
      </c>
      <c r="BG108">
        <v>0</v>
      </c>
      <c r="BH108">
        <v>1800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>"14:42:54.307"</f>
        <v>14:42:54.307</v>
      </c>
      <c r="CJ108">
        <v>3</v>
      </c>
      <c r="CK108">
        <v>2</v>
      </c>
      <c r="CL108">
        <v>0</v>
      </c>
      <c r="CM108">
        <v>2</v>
      </c>
      <c r="CN108">
        <v>0</v>
      </c>
      <c r="CO108">
        <v>3</v>
      </c>
      <c r="CP108" t="s">
        <v>119</v>
      </c>
      <c r="CQ108">
        <v>232</v>
      </c>
      <c r="CR108">
        <v>1</v>
      </c>
      <c r="CW108">
        <v>14843917</v>
      </c>
      <c r="CY108">
        <v>1</v>
      </c>
      <c r="CZ108">
        <v>0</v>
      </c>
      <c r="DA108">
        <v>0</v>
      </c>
      <c r="DB108">
        <v>0</v>
      </c>
      <c r="DC108">
        <v>0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"12/16/2021 14:42:54.538"</f>
        <v>12/16/2021 14:42:54.538</v>
      </c>
      <c r="C109" t="str">
        <f t="shared" si="4"/>
        <v>FFDFD3C0</v>
      </c>
      <c r="D109" t="s">
        <v>124</v>
      </c>
      <c r="E109">
        <v>10</v>
      </c>
      <c r="F109">
        <v>1010</v>
      </c>
      <c r="G109" t="s">
        <v>130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"14:42:54.305"</f>
        <v>14:42:54.305</v>
      </c>
      <c r="T109" t="str">
        <f>"14:42:53.805"</f>
        <v>14:42:53.805</v>
      </c>
      <c r="U109" t="str">
        <f t="shared" si="3"/>
        <v>A0F928</v>
      </c>
      <c r="V109">
        <v>0</v>
      </c>
      <c r="W109">
        <v>0</v>
      </c>
      <c r="X109">
        <v>2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0</v>
      </c>
      <c r="AG109">
        <v>2</v>
      </c>
      <c r="AH109">
        <v>1</v>
      </c>
      <c r="AI109" t="s">
        <v>182</v>
      </c>
      <c r="AJ109">
        <v>35.781827</v>
      </c>
      <c r="AK109" t="s">
        <v>183</v>
      </c>
      <c r="AL109">
        <v>-84.013159000000002</v>
      </c>
      <c r="AM109">
        <v>25</v>
      </c>
      <c r="AN109">
        <v>1550</v>
      </c>
      <c r="AO109" t="s">
        <v>118</v>
      </c>
      <c r="AP109">
        <v>37</v>
      </c>
      <c r="AQ109">
        <v>-129</v>
      </c>
      <c r="AR109">
        <v>896</v>
      </c>
      <c r="AZ109">
        <v>300</v>
      </c>
      <c r="BA109">
        <v>1</v>
      </c>
      <c r="BB109" t="str">
        <f t="shared" si="5"/>
        <v xml:space="preserve">N162AM  </v>
      </c>
      <c r="BC109">
        <v>1</v>
      </c>
      <c r="BE109">
        <v>0</v>
      </c>
      <c r="BF109">
        <v>0</v>
      </c>
      <c r="BG109">
        <v>0</v>
      </c>
      <c r="BH109">
        <v>1800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>"14:42:54.307"</f>
        <v>14:42:54.307</v>
      </c>
      <c r="CJ109">
        <v>2</v>
      </c>
      <c r="CK109">
        <v>2</v>
      </c>
      <c r="CL109">
        <v>0</v>
      </c>
      <c r="CM109">
        <v>2</v>
      </c>
      <c r="CN109">
        <v>0</v>
      </c>
      <c r="CO109">
        <v>3</v>
      </c>
      <c r="CP109" t="s">
        <v>119</v>
      </c>
      <c r="CQ109">
        <v>232</v>
      </c>
      <c r="CR109">
        <v>1</v>
      </c>
      <c r="CW109">
        <v>14843917</v>
      </c>
      <c r="CY109">
        <v>1</v>
      </c>
      <c r="CZ109">
        <v>0</v>
      </c>
      <c r="DA109">
        <v>1</v>
      </c>
      <c r="DB109">
        <v>0</v>
      </c>
      <c r="DC109">
        <v>0</v>
      </c>
      <c r="DD109">
        <v>1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"12/16/2021 14:42:54.553"</f>
        <v>12/16/2021 14:42:54.553</v>
      </c>
      <c r="C110" t="str">
        <f t="shared" si="4"/>
        <v>FFDFD3C0</v>
      </c>
      <c r="D110" t="s">
        <v>124</v>
      </c>
      <c r="E110">
        <v>5</v>
      </c>
      <c r="F110">
        <v>1005</v>
      </c>
      <c r="G110" t="s">
        <v>114</v>
      </c>
      <c r="J110" t="s">
        <v>125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"14:42:54.305"</f>
        <v>14:42:54.305</v>
      </c>
      <c r="T110" t="str">
        <f>"14:42:53.805"</f>
        <v>14:42:53.805</v>
      </c>
      <c r="U110" t="str">
        <f t="shared" si="3"/>
        <v>A0F928</v>
      </c>
      <c r="V110">
        <v>0</v>
      </c>
      <c r="W110">
        <v>0</v>
      </c>
      <c r="X110">
        <v>2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3</v>
      </c>
      <c r="AG110">
        <v>2</v>
      </c>
      <c r="AH110">
        <v>1</v>
      </c>
      <c r="AI110" t="s">
        <v>182</v>
      </c>
      <c r="AJ110">
        <v>35.781827</v>
      </c>
      <c r="AK110" t="s">
        <v>183</v>
      </c>
      <c r="AL110">
        <v>-84.013159000000002</v>
      </c>
      <c r="AM110">
        <v>25</v>
      </c>
      <c r="AN110">
        <v>1550</v>
      </c>
      <c r="AO110" t="s">
        <v>118</v>
      </c>
      <c r="AP110">
        <v>37</v>
      </c>
      <c r="AQ110">
        <v>-129</v>
      </c>
      <c r="AR110">
        <v>896</v>
      </c>
      <c r="AZ110">
        <v>300</v>
      </c>
      <c r="BA110">
        <v>1</v>
      </c>
      <c r="BB110" t="str">
        <f t="shared" si="5"/>
        <v xml:space="preserve">N162AM  </v>
      </c>
      <c r="BC110">
        <v>1</v>
      </c>
      <c r="BE110">
        <v>0</v>
      </c>
      <c r="BF110">
        <v>0</v>
      </c>
      <c r="BG110">
        <v>0</v>
      </c>
      <c r="BH110">
        <v>1800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>"14:42:54.307"</f>
        <v>14:42:54.307</v>
      </c>
      <c r="CJ110">
        <v>3</v>
      </c>
      <c r="CK110">
        <v>2</v>
      </c>
      <c r="CL110">
        <v>0</v>
      </c>
      <c r="CM110">
        <v>2</v>
      </c>
      <c r="CN110">
        <v>0</v>
      </c>
      <c r="CO110">
        <v>3</v>
      </c>
      <c r="CP110" t="s">
        <v>119</v>
      </c>
      <c r="CQ110">
        <v>232</v>
      </c>
      <c r="CR110">
        <v>1</v>
      </c>
      <c r="CW110">
        <v>14843917</v>
      </c>
      <c r="CY110">
        <v>1</v>
      </c>
      <c r="CZ110">
        <v>0</v>
      </c>
      <c r="DA110">
        <v>1</v>
      </c>
      <c r="DB110">
        <v>0</v>
      </c>
      <c r="DC110">
        <v>0</v>
      </c>
      <c r="DD110">
        <v>1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"12/16/2021 14:42:54.553"</f>
        <v>12/16/2021 14:42:54.553</v>
      </c>
      <c r="C111" t="str">
        <f t="shared" si="4"/>
        <v>FFDFD3C0</v>
      </c>
      <c r="D111" t="s">
        <v>133</v>
      </c>
      <c r="E111">
        <v>44</v>
      </c>
      <c r="H111">
        <v>131</v>
      </c>
      <c r="I111" t="s">
        <v>134</v>
      </c>
      <c r="J111" t="s">
        <v>135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"14:42:54.305"</f>
        <v>14:42:54.305</v>
      </c>
      <c r="T111" t="str">
        <f>"14:42:53.805"</f>
        <v>14:42:53.805</v>
      </c>
      <c r="U111" t="str">
        <f t="shared" si="3"/>
        <v>A0F928</v>
      </c>
      <c r="V111">
        <v>0</v>
      </c>
      <c r="W111">
        <v>0</v>
      </c>
      <c r="X111">
        <v>2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3</v>
      </c>
      <c r="AG111">
        <v>2</v>
      </c>
      <c r="AH111">
        <v>1</v>
      </c>
      <c r="AI111" t="s">
        <v>182</v>
      </c>
      <c r="AJ111">
        <v>35.781827</v>
      </c>
      <c r="AK111" t="s">
        <v>183</v>
      </c>
      <c r="AL111">
        <v>-84.013159000000002</v>
      </c>
      <c r="AM111">
        <v>25</v>
      </c>
      <c r="AN111">
        <v>1550</v>
      </c>
      <c r="AO111" t="s">
        <v>118</v>
      </c>
      <c r="AP111">
        <v>37</v>
      </c>
      <c r="AQ111">
        <v>-129</v>
      </c>
      <c r="AR111">
        <v>896</v>
      </c>
      <c r="AZ111">
        <v>300</v>
      </c>
      <c r="BA111">
        <v>1</v>
      </c>
      <c r="BB111" t="str">
        <f t="shared" si="5"/>
        <v xml:space="preserve">N162AM  </v>
      </c>
      <c r="BC111">
        <v>1</v>
      </c>
      <c r="BE111">
        <v>0</v>
      </c>
      <c r="BF111">
        <v>0</v>
      </c>
      <c r="BG111">
        <v>0</v>
      </c>
      <c r="BH111">
        <v>1800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>"14:42:54.307"</f>
        <v>14:42:54.307</v>
      </c>
      <c r="CJ111">
        <v>3</v>
      </c>
      <c r="CK111">
        <v>2</v>
      </c>
      <c r="CL111">
        <v>0</v>
      </c>
      <c r="CM111">
        <v>2</v>
      </c>
      <c r="CN111">
        <v>0</v>
      </c>
      <c r="CO111">
        <v>3</v>
      </c>
      <c r="CP111" t="s">
        <v>119</v>
      </c>
      <c r="CQ111">
        <v>232</v>
      </c>
      <c r="CR111">
        <v>1</v>
      </c>
      <c r="CW111">
        <v>14843917</v>
      </c>
      <c r="CY111">
        <v>1</v>
      </c>
      <c r="CZ111">
        <v>0</v>
      </c>
      <c r="DA111">
        <v>1</v>
      </c>
      <c r="DB111">
        <v>0</v>
      </c>
      <c r="DC111">
        <v>0</v>
      </c>
      <c r="DD111">
        <v>1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"12/16/2021 14:42:56.623"</f>
        <v>12/16/2021 14:42:56.623</v>
      </c>
      <c r="C112" t="str">
        <f t="shared" si="4"/>
        <v>FFDFD3C0</v>
      </c>
      <c r="D112" t="s">
        <v>113</v>
      </c>
      <c r="E112">
        <v>8</v>
      </c>
      <c r="H112">
        <v>176</v>
      </c>
      <c r="I112" t="s">
        <v>114</v>
      </c>
      <c r="J112" t="s">
        <v>115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"14:42:56.422"</f>
        <v>14:42:56.422</v>
      </c>
      <c r="T112" t="str">
        <f>"14:42:54.822"</f>
        <v>14:42:54.822</v>
      </c>
      <c r="U112" t="str">
        <f t="shared" si="3"/>
        <v>A0F928</v>
      </c>
      <c r="V112">
        <v>0</v>
      </c>
      <c r="W112">
        <v>0</v>
      </c>
      <c r="X112">
        <v>2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3</v>
      </c>
      <c r="AG112">
        <v>2</v>
      </c>
      <c r="AH112">
        <v>1</v>
      </c>
      <c r="AI112" t="s">
        <v>184</v>
      </c>
      <c r="AJ112">
        <v>35.780540000000002</v>
      </c>
      <c r="AK112" t="s">
        <v>157</v>
      </c>
      <c r="AL112">
        <v>-84.012557999999999</v>
      </c>
      <c r="AM112">
        <v>25</v>
      </c>
      <c r="AN112">
        <v>1550</v>
      </c>
      <c r="AO112" t="s">
        <v>118</v>
      </c>
      <c r="AP112">
        <v>43</v>
      </c>
      <c r="AQ112">
        <v>-128</v>
      </c>
      <c r="AR112">
        <v>896</v>
      </c>
      <c r="AZ112">
        <v>300</v>
      </c>
      <c r="BA112">
        <v>1</v>
      </c>
      <c r="BB112" t="str">
        <f t="shared" si="5"/>
        <v xml:space="preserve">N162AM  </v>
      </c>
      <c r="BC112">
        <v>1</v>
      </c>
      <c r="BE112">
        <v>0</v>
      </c>
      <c r="BF112">
        <v>0</v>
      </c>
      <c r="BG112">
        <v>0</v>
      </c>
      <c r="BH112">
        <v>1825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>"14:42:56.425"</f>
        <v>14:42:56.425</v>
      </c>
      <c r="CJ112">
        <v>3</v>
      </c>
      <c r="CK112">
        <v>2</v>
      </c>
      <c r="CL112">
        <v>0</v>
      </c>
      <c r="CM112">
        <v>2</v>
      </c>
      <c r="CN112">
        <v>0</v>
      </c>
      <c r="CO112">
        <v>3</v>
      </c>
      <c r="CP112" t="s">
        <v>119</v>
      </c>
      <c r="CQ112">
        <v>232</v>
      </c>
      <c r="CR112">
        <v>1</v>
      </c>
      <c r="CW112">
        <v>14847158</v>
      </c>
      <c r="CY112">
        <v>1</v>
      </c>
      <c r="CZ112">
        <v>0</v>
      </c>
      <c r="DA112">
        <v>0</v>
      </c>
      <c r="DB112">
        <v>0</v>
      </c>
      <c r="DC112">
        <v>0</v>
      </c>
      <c r="DD112">
        <v>1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"12/16/2021 14:42:56.686"</f>
        <v>12/16/2021 14:42:56.686</v>
      </c>
      <c r="C113" t="str">
        <f t="shared" si="4"/>
        <v>FFDFD3C0</v>
      </c>
      <c r="D113" t="s">
        <v>124</v>
      </c>
      <c r="E113">
        <v>10</v>
      </c>
      <c r="F113">
        <v>1010</v>
      </c>
      <c r="G113" t="s">
        <v>130</v>
      </c>
      <c r="J113" t="s">
        <v>125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"14:42:56.422"</f>
        <v>14:42:56.422</v>
      </c>
      <c r="T113" t="str">
        <f>"14:42:54.822"</f>
        <v>14:42:54.822</v>
      </c>
      <c r="U113" t="str">
        <f t="shared" si="3"/>
        <v>A0F928</v>
      </c>
      <c r="V113">
        <v>0</v>
      </c>
      <c r="W113">
        <v>0</v>
      </c>
      <c r="X113">
        <v>2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0</v>
      </c>
      <c r="AG113">
        <v>2</v>
      </c>
      <c r="AH113">
        <v>1</v>
      </c>
      <c r="AI113" t="s">
        <v>184</v>
      </c>
      <c r="AJ113">
        <v>35.780540000000002</v>
      </c>
      <c r="AK113" t="s">
        <v>157</v>
      </c>
      <c r="AL113">
        <v>-84.012557999999999</v>
      </c>
      <c r="AM113">
        <v>25</v>
      </c>
      <c r="AN113">
        <v>1550</v>
      </c>
      <c r="AO113" t="s">
        <v>118</v>
      </c>
      <c r="AP113">
        <v>43</v>
      </c>
      <c r="AQ113">
        <v>-128</v>
      </c>
      <c r="AR113">
        <v>896</v>
      </c>
      <c r="AZ113">
        <v>300</v>
      </c>
      <c r="BA113">
        <v>1</v>
      </c>
      <c r="BB113" t="str">
        <f t="shared" si="5"/>
        <v xml:space="preserve">N162AM  </v>
      </c>
      <c r="BC113">
        <v>1</v>
      </c>
      <c r="BE113">
        <v>0</v>
      </c>
      <c r="BF113">
        <v>0</v>
      </c>
      <c r="BG113">
        <v>0</v>
      </c>
      <c r="BH113">
        <v>1825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>"14:42:56.425"</f>
        <v>14:42:56.425</v>
      </c>
      <c r="CJ113">
        <v>2</v>
      </c>
      <c r="CK113">
        <v>2</v>
      </c>
      <c r="CL113">
        <v>0</v>
      </c>
      <c r="CM113">
        <v>2</v>
      </c>
      <c r="CN113">
        <v>0</v>
      </c>
      <c r="CO113">
        <v>3</v>
      </c>
      <c r="CP113" t="s">
        <v>119</v>
      </c>
      <c r="CQ113">
        <v>232</v>
      </c>
      <c r="CR113">
        <v>1</v>
      </c>
      <c r="CW113">
        <v>14847158</v>
      </c>
      <c r="CY113">
        <v>1</v>
      </c>
      <c r="CZ113">
        <v>0</v>
      </c>
      <c r="DA113">
        <v>1</v>
      </c>
      <c r="DB113">
        <v>0</v>
      </c>
      <c r="DC113">
        <v>0</v>
      </c>
      <c r="DD113">
        <v>1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"12/16/2021 14:42:56.701"</f>
        <v>12/16/2021 14:42:56.701</v>
      </c>
      <c r="C114" t="str">
        <f t="shared" si="4"/>
        <v>FFDFD3C0</v>
      </c>
      <c r="D114" t="s">
        <v>124</v>
      </c>
      <c r="E114">
        <v>5</v>
      </c>
      <c r="F114">
        <v>1005</v>
      </c>
      <c r="G114" t="s">
        <v>114</v>
      </c>
      <c r="J114" t="s">
        <v>125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"14:42:56.422"</f>
        <v>14:42:56.422</v>
      </c>
      <c r="T114" t="str">
        <f>"14:42:54.822"</f>
        <v>14:42:54.822</v>
      </c>
      <c r="U114" t="str">
        <f t="shared" si="3"/>
        <v>A0F928</v>
      </c>
      <c r="V114">
        <v>0</v>
      </c>
      <c r="W114">
        <v>0</v>
      </c>
      <c r="X114">
        <v>2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3</v>
      </c>
      <c r="AG114">
        <v>2</v>
      </c>
      <c r="AH114">
        <v>1</v>
      </c>
      <c r="AI114" t="s">
        <v>184</v>
      </c>
      <c r="AJ114">
        <v>35.780540000000002</v>
      </c>
      <c r="AK114" t="s">
        <v>157</v>
      </c>
      <c r="AL114">
        <v>-84.012557999999999</v>
      </c>
      <c r="AM114">
        <v>25</v>
      </c>
      <c r="AN114">
        <v>1550</v>
      </c>
      <c r="AO114" t="s">
        <v>118</v>
      </c>
      <c r="AP114">
        <v>43</v>
      </c>
      <c r="AQ114">
        <v>-128</v>
      </c>
      <c r="AR114">
        <v>896</v>
      </c>
      <c r="AZ114">
        <v>300</v>
      </c>
      <c r="BA114">
        <v>1</v>
      </c>
      <c r="BB114" t="str">
        <f t="shared" si="5"/>
        <v xml:space="preserve">N162AM  </v>
      </c>
      <c r="BC114">
        <v>1</v>
      </c>
      <c r="BE114">
        <v>0</v>
      </c>
      <c r="BF114">
        <v>0</v>
      </c>
      <c r="BG114">
        <v>0</v>
      </c>
      <c r="BH114">
        <v>1825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>"14:42:56.425"</f>
        <v>14:42:56.425</v>
      </c>
      <c r="CJ114">
        <v>3</v>
      </c>
      <c r="CK114">
        <v>2</v>
      </c>
      <c r="CL114">
        <v>0</v>
      </c>
      <c r="CM114">
        <v>2</v>
      </c>
      <c r="CN114">
        <v>0</v>
      </c>
      <c r="CO114">
        <v>3</v>
      </c>
      <c r="CP114" t="s">
        <v>119</v>
      </c>
      <c r="CQ114">
        <v>232</v>
      </c>
      <c r="CR114">
        <v>1</v>
      </c>
      <c r="CW114">
        <v>14847158</v>
      </c>
      <c r="CY114">
        <v>1</v>
      </c>
      <c r="CZ114">
        <v>0</v>
      </c>
      <c r="DA114">
        <v>0</v>
      </c>
      <c r="DB114">
        <v>0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"12/16/2021 14:42:56.701"</f>
        <v>12/16/2021 14:42:56.701</v>
      </c>
      <c r="C115" t="str">
        <f t="shared" si="4"/>
        <v>FFDFD3C0</v>
      </c>
      <c r="D115" t="s">
        <v>133</v>
      </c>
      <c r="E115">
        <v>44</v>
      </c>
      <c r="H115">
        <v>131</v>
      </c>
      <c r="I115" t="s">
        <v>134</v>
      </c>
      <c r="J115" t="s">
        <v>135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"14:42:56.422"</f>
        <v>14:42:56.422</v>
      </c>
      <c r="T115" t="str">
        <f>"14:42:54.822"</f>
        <v>14:42:54.822</v>
      </c>
      <c r="U115" t="str">
        <f t="shared" si="3"/>
        <v>A0F928</v>
      </c>
      <c r="V115">
        <v>0</v>
      </c>
      <c r="W115">
        <v>0</v>
      </c>
      <c r="X115">
        <v>2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3</v>
      </c>
      <c r="AG115">
        <v>2</v>
      </c>
      <c r="AH115">
        <v>1</v>
      </c>
      <c r="AI115" t="s">
        <v>184</v>
      </c>
      <c r="AJ115">
        <v>35.780540000000002</v>
      </c>
      <c r="AK115" t="s">
        <v>157</v>
      </c>
      <c r="AL115">
        <v>-84.012557999999999</v>
      </c>
      <c r="AM115">
        <v>25</v>
      </c>
      <c r="AN115">
        <v>1550</v>
      </c>
      <c r="AO115" t="s">
        <v>118</v>
      </c>
      <c r="AP115">
        <v>43</v>
      </c>
      <c r="AQ115">
        <v>-128</v>
      </c>
      <c r="AR115">
        <v>896</v>
      </c>
      <c r="AZ115">
        <v>300</v>
      </c>
      <c r="BA115">
        <v>1</v>
      </c>
      <c r="BB115" t="str">
        <f t="shared" si="5"/>
        <v xml:space="preserve">N162AM  </v>
      </c>
      <c r="BC115">
        <v>1</v>
      </c>
      <c r="BE115">
        <v>0</v>
      </c>
      <c r="BF115">
        <v>0</v>
      </c>
      <c r="BG115">
        <v>0</v>
      </c>
      <c r="BH115">
        <v>1825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>"14:42:56.425"</f>
        <v>14:42:56.425</v>
      </c>
      <c r="CJ115">
        <v>3</v>
      </c>
      <c r="CK115">
        <v>2</v>
      </c>
      <c r="CL115">
        <v>0</v>
      </c>
      <c r="CM115">
        <v>2</v>
      </c>
      <c r="CN115">
        <v>0</v>
      </c>
      <c r="CO115">
        <v>3</v>
      </c>
      <c r="CP115" t="s">
        <v>119</v>
      </c>
      <c r="CQ115">
        <v>232</v>
      </c>
      <c r="CR115">
        <v>1</v>
      </c>
      <c r="CW115">
        <v>14847158</v>
      </c>
      <c r="CY115">
        <v>1</v>
      </c>
      <c r="CZ115">
        <v>0</v>
      </c>
      <c r="DA115">
        <v>1</v>
      </c>
      <c r="DB115">
        <v>0</v>
      </c>
      <c r="DC115">
        <v>0</v>
      </c>
      <c r="DD115">
        <v>1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"12/16/2021 14:42:59.062"</f>
        <v>12/16/2021 14:42:59.062</v>
      </c>
      <c r="C116" t="str">
        <f t="shared" si="4"/>
        <v>FFDFD3C0</v>
      </c>
      <c r="D116" t="s">
        <v>124</v>
      </c>
      <c r="E116">
        <v>10</v>
      </c>
      <c r="F116">
        <v>1010</v>
      </c>
      <c r="G116" t="s">
        <v>130</v>
      </c>
      <c r="J116" t="s">
        <v>125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"14:42:58.883"</f>
        <v>14:42:58.883</v>
      </c>
      <c r="T116" t="str">
        <f>"14:42:56.883"</f>
        <v>14:42:56.883</v>
      </c>
      <c r="U116" t="str">
        <f t="shared" si="3"/>
        <v>A0F928</v>
      </c>
      <c r="V116">
        <v>0</v>
      </c>
      <c r="W116">
        <v>0</v>
      </c>
      <c r="X116">
        <v>2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0</v>
      </c>
      <c r="AG116">
        <v>2</v>
      </c>
      <c r="AH116">
        <v>1</v>
      </c>
      <c r="AI116" t="s">
        <v>185</v>
      </c>
      <c r="AJ116">
        <v>35.779165999999996</v>
      </c>
      <c r="AK116" t="s">
        <v>186</v>
      </c>
      <c r="AL116">
        <v>-84.011635999999996</v>
      </c>
      <c r="AM116">
        <v>25</v>
      </c>
      <c r="AN116">
        <v>1600</v>
      </c>
      <c r="AO116" t="s">
        <v>118</v>
      </c>
      <c r="AP116">
        <v>55</v>
      </c>
      <c r="AQ116">
        <v>-124</v>
      </c>
      <c r="AR116">
        <v>896</v>
      </c>
      <c r="AZ116">
        <v>300</v>
      </c>
      <c r="BA116">
        <v>1</v>
      </c>
      <c r="BB116" t="str">
        <f t="shared" si="5"/>
        <v xml:space="preserve">N162AM  </v>
      </c>
      <c r="BC116">
        <v>1</v>
      </c>
      <c r="BE116">
        <v>0</v>
      </c>
      <c r="BF116">
        <v>0</v>
      </c>
      <c r="BG116">
        <v>0</v>
      </c>
      <c r="BH116">
        <v>1825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"14:42:58.888"</f>
        <v>14:42:58.888</v>
      </c>
      <c r="CJ116">
        <v>2</v>
      </c>
      <c r="CK116">
        <v>2</v>
      </c>
      <c r="CL116">
        <v>0</v>
      </c>
      <c r="CM116">
        <v>2</v>
      </c>
      <c r="CN116">
        <v>0</v>
      </c>
      <c r="CO116">
        <v>3</v>
      </c>
      <c r="CP116" t="s">
        <v>119</v>
      </c>
      <c r="CQ116">
        <v>232</v>
      </c>
      <c r="CR116">
        <v>1</v>
      </c>
      <c r="CW116">
        <v>14850847</v>
      </c>
      <c r="CY116">
        <v>1</v>
      </c>
      <c r="CZ116">
        <v>0</v>
      </c>
      <c r="DA116">
        <v>0</v>
      </c>
      <c r="DB116">
        <v>0</v>
      </c>
      <c r="DC116">
        <v>0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"12/16/2021 14:42:59.093"</f>
        <v>12/16/2021 14:42:59.093</v>
      </c>
      <c r="C117" t="str">
        <f t="shared" si="4"/>
        <v>FFDFD3C0</v>
      </c>
      <c r="D117" t="s">
        <v>124</v>
      </c>
      <c r="E117">
        <v>5</v>
      </c>
      <c r="F117">
        <v>1005</v>
      </c>
      <c r="G117" t="s">
        <v>114</v>
      </c>
      <c r="J117" t="s">
        <v>125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"14:42:58.883"</f>
        <v>14:42:58.883</v>
      </c>
      <c r="T117" t="str">
        <f>"14:42:56.883"</f>
        <v>14:42:56.883</v>
      </c>
      <c r="U117" t="str">
        <f t="shared" si="3"/>
        <v>A0F928</v>
      </c>
      <c r="V117">
        <v>0</v>
      </c>
      <c r="W117">
        <v>0</v>
      </c>
      <c r="X117">
        <v>2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3</v>
      </c>
      <c r="AG117">
        <v>2</v>
      </c>
      <c r="AH117">
        <v>1</v>
      </c>
      <c r="AI117" t="s">
        <v>185</v>
      </c>
      <c r="AJ117">
        <v>35.779165999999996</v>
      </c>
      <c r="AK117" t="s">
        <v>186</v>
      </c>
      <c r="AL117">
        <v>-84.011635999999996</v>
      </c>
      <c r="AM117">
        <v>25</v>
      </c>
      <c r="AN117">
        <v>1600</v>
      </c>
      <c r="AO117" t="s">
        <v>118</v>
      </c>
      <c r="AP117">
        <v>55</v>
      </c>
      <c r="AQ117">
        <v>-124</v>
      </c>
      <c r="AR117">
        <v>896</v>
      </c>
      <c r="AZ117">
        <v>300</v>
      </c>
      <c r="BA117">
        <v>1</v>
      </c>
      <c r="BB117" t="str">
        <f t="shared" si="5"/>
        <v xml:space="preserve">N162AM  </v>
      </c>
      <c r="BC117">
        <v>1</v>
      </c>
      <c r="BE117">
        <v>0</v>
      </c>
      <c r="BF117">
        <v>0</v>
      </c>
      <c r="BG117">
        <v>0</v>
      </c>
      <c r="BH117">
        <v>1825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"14:42:58.888"</f>
        <v>14:42:58.888</v>
      </c>
      <c r="CJ117">
        <v>3</v>
      </c>
      <c r="CK117">
        <v>2</v>
      </c>
      <c r="CL117">
        <v>0</v>
      </c>
      <c r="CM117">
        <v>2</v>
      </c>
      <c r="CN117">
        <v>0</v>
      </c>
      <c r="CO117">
        <v>3</v>
      </c>
      <c r="CP117" t="s">
        <v>119</v>
      </c>
      <c r="CQ117">
        <v>232</v>
      </c>
      <c r="CR117">
        <v>1</v>
      </c>
      <c r="CW117">
        <v>14850847</v>
      </c>
      <c r="CY117">
        <v>1</v>
      </c>
      <c r="CZ117">
        <v>0</v>
      </c>
      <c r="DA117">
        <v>1</v>
      </c>
      <c r="DB117">
        <v>0</v>
      </c>
      <c r="DC117">
        <v>0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"12/16/2021 14:42:59.109"</f>
        <v>12/16/2021 14:42:59.109</v>
      </c>
      <c r="C118" t="str">
        <f t="shared" si="4"/>
        <v>FFDFD3C0</v>
      </c>
      <c r="D118" t="s">
        <v>133</v>
      </c>
      <c r="E118">
        <v>44</v>
      </c>
      <c r="H118">
        <v>131</v>
      </c>
      <c r="I118" t="s">
        <v>134</v>
      </c>
      <c r="J118" t="s">
        <v>135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"14:42:58.883"</f>
        <v>14:42:58.883</v>
      </c>
      <c r="T118" t="str">
        <f>"14:42:56.883"</f>
        <v>14:42:56.883</v>
      </c>
      <c r="U118" t="str">
        <f t="shared" si="3"/>
        <v>A0F928</v>
      </c>
      <c r="V118">
        <v>0</v>
      </c>
      <c r="W118">
        <v>0</v>
      </c>
      <c r="X118">
        <v>2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3</v>
      </c>
      <c r="AG118">
        <v>2</v>
      </c>
      <c r="AH118">
        <v>1</v>
      </c>
      <c r="AI118" t="s">
        <v>185</v>
      </c>
      <c r="AJ118">
        <v>35.779165999999996</v>
      </c>
      <c r="AK118" t="s">
        <v>186</v>
      </c>
      <c r="AL118">
        <v>-84.011635999999996</v>
      </c>
      <c r="AM118">
        <v>25</v>
      </c>
      <c r="AN118">
        <v>1600</v>
      </c>
      <c r="AO118" t="s">
        <v>118</v>
      </c>
      <c r="AP118">
        <v>55</v>
      </c>
      <c r="AQ118">
        <v>-124</v>
      </c>
      <c r="AR118">
        <v>896</v>
      </c>
      <c r="AZ118">
        <v>300</v>
      </c>
      <c r="BA118">
        <v>1</v>
      </c>
      <c r="BB118" t="str">
        <f t="shared" si="5"/>
        <v xml:space="preserve">N162AM  </v>
      </c>
      <c r="BC118">
        <v>1</v>
      </c>
      <c r="BE118">
        <v>0</v>
      </c>
      <c r="BF118">
        <v>0</v>
      </c>
      <c r="BG118">
        <v>0</v>
      </c>
      <c r="BH118">
        <v>1825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"14:42:58.888"</f>
        <v>14:42:58.888</v>
      </c>
      <c r="CJ118">
        <v>3</v>
      </c>
      <c r="CK118">
        <v>2</v>
      </c>
      <c r="CL118">
        <v>0</v>
      </c>
      <c r="CM118">
        <v>2</v>
      </c>
      <c r="CN118">
        <v>0</v>
      </c>
      <c r="CO118">
        <v>3</v>
      </c>
      <c r="CP118" t="s">
        <v>119</v>
      </c>
      <c r="CQ118">
        <v>232</v>
      </c>
      <c r="CR118">
        <v>1</v>
      </c>
      <c r="CW118">
        <v>14850847</v>
      </c>
      <c r="CY118">
        <v>1</v>
      </c>
      <c r="CZ118">
        <v>0</v>
      </c>
      <c r="DA118">
        <v>1</v>
      </c>
      <c r="DB118">
        <v>0</v>
      </c>
      <c r="DC118">
        <v>0</v>
      </c>
      <c r="DD118">
        <v>1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3">
      <c r="A119" t="str">
        <f>"12/16/2021 14:42:59.109"</f>
        <v>12/16/2021 14:42:59.109</v>
      </c>
      <c r="C119" t="str">
        <f t="shared" si="4"/>
        <v>FFDFD3C0</v>
      </c>
      <c r="D119" t="s">
        <v>113</v>
      </c>
      <c r="E119">
        <v>8</v>
      </c>
      <c r="H119">
        <v>176</v>
      </c>
      <c r="I119" t="s">
        <v>114</v>
      </c>
      <c r="J119" t="s">
        <v>115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"14:42:58.883"</f>
        <v>14:42:58.883</v>
      </c>
      <c r="T119" t="str">
        <f>"14:42:56.883"</f>
        <v>14:42:56.883</v>
      </c>
      <c r="U119" t="str">
        <f t="shared" si="3"/>
        <v>A0F928</v>
      </c>
      <c r="V119">
        <v>0</v>
      </c>
      <c r="W119">
        <v>0</v>
      </c>
      <c r="X119">
        <v>2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3</v>
      </c>
      <c r="AG119">
        <v>2</v>
      </c>
      <c r="AH119">
        <v>1</v>
      </c>
      <c r="AI119" t="s">
        <v>185</v>
      </c>
      <c r="AJ119">
        <v>35.779165999999996</v>
      </c>
      <c r="AK119" t="s">
        <v>186</v>
      </c>
      <c r="AL119">
        <v>-84.011635999999996</v>
      </c>
      <c r="AM119">
        <v>25</v>
      </c>
      <c r="AN119">
        <v>1600</v>
      </c>
      <c r="AO119" t="s">
        <v>118</v>
      </c>
      <c r="AP119">
        <v>55</v>
      </c>
      <c r="AQ119">
        <v>-124</v>
      </c>
      <c r="AR119">
        <v>896</v>
      </c>
      <c r="AZ119">
        <v>300</v>
      </c>
      <c r="BA119">
        <v>1</v>
      </c>
      <c r="BB119" t="str">
        <f t="shared" si="5"/>
        <v xml:space="preserve">N162AM  </v>
      </c>
      <c r="BC119">
        <v>1</v>
      </c>
      <c r="BE119">
        <v>0</v>
      </c>
      <c r="BF119">
        <v>0</v>
      </c>
      <c r="BG119">
        <v>0</v>
      </c>
      <c r="BH119">
        <v>1825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"14:42:58.888"</f>
        <v>14:42:58.888</v>
      </c>
      <c r="CJ119">
        <v>3</v>
      </c>
      <c r="CK119">
        <v>2</v>
      </c>
      <c r="CL119">
        <v>0</v>
      </c>
      <c r="CM119">
        <v>2</v>
      </c>
      <c r="CN119">
        <v>0</v>
      </c>
      <c r="CO119">
        <v>3</v>
      </c>
      <c r="CP119" t="s">
        <v>119</v>
      </c>
      <c r="CQ119">
        <v>232</v>
      </c>
      <c r="CR119">
        <v>1</v>
      </c>
      <c r="CW119">
        <v>14850847</v>
      </c>
      <c r="CY119">
        <v>1</v>
      </c>
      <c r="CZ119">
        <v>0</v>
      </c>
      <c r="DA119">
        <v>1</v>
      </c>
      <c r="DB119">
        <v>0</v>
      </c>
      <c r="DC119">
        <v>0</v>
      </c>
      <c r="DD119">
        <v>1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3">
      <c r="A120" t="str">
        <f>"12/16/2021 14:43:00.083"</f>
        <v>12/16/2021 14:43:00.083</v>
      </c>
      <c r="C120" t="str">
        <f t="shared" si="4"/>
        <v>FFDFD3C0</v>
      </c>
      <c r="D120" t="s">
        <v>124</v>
      </c>
      <c r="E120">
        <v>10</v>
      </c>
      <c r="F120">
        <v>1010</v>
      </c>
      <c r="G120" t="s">
        <v>130</v>
      </c>
      <c r="J120" t="s">
        <v>125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"14:42:59.852"</f>
        <v>14:42:59.852</v>
      </c>
      <c r="T120" t="str">
        <f>"14:42:59.352"</f>
        <v>14:42:59.352</v>
      </c>
      <c r="U120" t="str">
        <f t="shared" si="3"/>
        <v>A0F928</v>
      </c>
      <c r="V120">
        <v>0</v>
      </c>
      <c r="W120">
        <v>0</v>
      </c>
      <c r="X120">
        <v>2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0</v>
      </c>
      <c r="AG120">
        <v>2</v>
      </c>
      <c r="AH120">
        <v>1</v>
      </c>
      <c r="AI120" t="s">
        <v>187</v>
      </c>
      <c r="AJ120">
        <v>35.778651000000004</v>
      </c>
      <c r="AK120" t="s">
        <v>188</v>
      </c>
      <c r="AL120">
        <v>-84.011228000000003</v>
      </c>
      <c r="AM120">
        <v>25</v>
      </c>
      <c r="AN120">
        <v>1625</v>
      </c>
      <c r="AO120" t="s">
        <v>118</v>
      </c>
      <c r="AP120">
        <v>72</v>
      </c>
      <c r="AQ120">
        <v>-116</v>
      </c>
      <c r="AR120">
        <v>960</v>
      </c>
      <c r="AZ120">
        <v>300</v>
      </c>
      <c r="BA120">
        <v>1</v>
      </c>
      <c r="BB120" t="str">
        <f t="shared" si="5"/>
        <v xml:space="preserve">N162AM  </v>
      </c>
      <c r="BC120">
        <v>1</v>
      </c>
      <c r="BE120">
        <v>0</v>
      </c>
      <c r="BF120">
        <v>0</v>
      </c>
      <c r="BG120">
        <v>0</v>
      </c>
      <c r="BH120">
        <v>1875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"14:42:59.859"</f>
        <v>14:42:59.859</v>
      </c>
      <c r="CJ120">
        <v>2</v>
      </c>
      <c r="CK120">
        <v>2</v>
      </c>
      <c r="CL120">
        <v>0</v>
      </c>
      <c r="CM120">
        <v>2</v>
      </c>
      <c r="CN120">
        <v>0</v>
      </c>
      <c r="CO120">
        <v>5</v>
      </c>
      <c r="CP120" t="s">
        <v>119</v>
      </c>
      <c r="CQ120">
        <v>232</v>
      </c>
      <c r="CR120">
        <v>2</v>
      </c>
      <c r="CW120">
        <v>6052972</v>
      </c>
      <c r="CY120">
        <v>1</v>
      </c>
      <c r="CZ120">
        <v>0</v>
      </c>
      <c r="DA120">
        <v>0</v>
      </c>
      <c r="DB120">
        <v>0</v>
      </c>
      <c r="DC120">
        <v>0</v>
      </c>
      <c r="DD120">
        <v>1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3">
      <c r="A121" t="str">
        <f>"12/16/2021 14:43:00.083"</f>
        <v>12/16/2021 14:43:00.083</v>
      </c>
      <c r="C121" t="str">
        <f t="shared" si="4"/>
        <v>FFDFD3C0</v>
      </c>
      <c r="D121" t="s">
        <v>124</v>
      </c>
      <c r="E121">
        <v>5</v>
      </c>
      <c r="F121">
        <v>1005</v>
      </c>
      <c r="G121" t="s">
        <v>114</v>
      </c>
      <c r="J121" t="s">
        <v>125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"14:42:59.852"</f>
        <v>14:42:59.852</v>
      </c>
      <c r="T121" t="str">
        <f>"14:42:59.352"</f>
        <v>14:42:59.352</v>
      </c>
      <c r="U121" t="str">
        <f t="shared" si="3"/>
        <v>A0F928</v>
      </c>
      <c r="V121">
        <v>0</v>
      </c>
      <c r="W121">
        <v>0</v>
      </c>
      <c r="X121">
        <v>2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3</v>
      </c>
      <c r="AG121">
        <v>2</v>
      </c>
      <c r="AH121">
        <v>1</v>
      </c>
      <c r="AI121" t="s">
        <v>187</v>
      </c>
      <c r="AJ121">
        <v>35.778651000000004</v>
      </c>
      <c r="AK121" t="s">
        <v>188</v>
      </c>
      <c r="AL121">
        <v>-84.011228000000003</v>
      </c>
      <c r="AM121">
        <v>25</v>
      </c>
      <c r="AN121">
        <v>1625</v>
      </c>
      <c r="AO121" t="s">
        <v>118</v>
      </c>
      <c r="AP121">
        <v>72</v>
      </c>
      <c r="AQ121">
        <v>-116</v>
      </c>
      <c r="AR121">
        <v>960</v>
      </c>
      <c r="AZ121">
        <v>300</v>
      </c>
      <c r="BA121">
        <v>1</v>
      </c>
      <c r="BB121" t="str">
        <f t="shared" si="5"/>
        <v xml:space="preserve">N162AM  </v>
      </c>
      <c r="BC121">
        <v>1</v>
      </c>
      <c r="BE121">
        <v>0</v>
      </c>
      <c r="BF121">
        <v>0</v>
      </c>
      <c r="BG121">
        <v>0</v>
      </c>
      <c r="BH121">
        <v>1875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>"14:42:59.859"</f>
        <v>14:42:59.859</v>
      </c>
      <c r="CJ121">
        <v>3</v>
      </c>
      <c r="CK121">
        <v>2</v>
      </c>
      <c r="CL121">
        <v>0</v>
      </c>
      <c r="CM121">
        <v>2</v>
      </c>
      <c r="CN121">
        <v>0</v>
      </c>
      <c r="CO121">
        <v>5</v>
      </c>
      <c r="CP121" t="s">
        <v>119</v>
      </c>
      <c r="CQ121">
        <v>232</v>
      </c>
      <c r="CR121">
        <v>2</v>
      </c>
      <c r="CW121">
        <v>6052972</v>
      </c>
      <c r="CY121">
        <v>1</v>
      </c>
      <c r="CZ121">
        <v>0</v>
      </c>
      <c r="DA121">
        <v>1</v>
      </c>
      <c r="DB121">
        <v>0</v>
      </c>
      <c r="DC121">
        <v>0</v>
      </c>
      <c r="DD121">
        <v>1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3">
      <c r="A122" t="str">
        <f>"12/16/2021 14:43:00.114"</f>
        <v>12/16/2021 14:43:00.114</v>
      </c>
      <c r="C122" t="str">
        <f t="shared" si="4"/>
        <v>FFDFD3C0</v>
      </c>
      <c r="D122" t="s">
        <v>133</v>
      </c>
      <c r="E122">
        <v>44</v>
      </c>
      <c r="H122">
        <v>131</v>
      </c>
      <c r="I122" t="s">
        <v>134</v>
      </c>
      <c r="J122" t="s">
        <v>135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"14:42:59.852"</f>
        <v>14:42:59.852</v>
      </c>
      <c r="T122" t="str">
        <f>"14:42:59.352"</f>
        <v>14:42:59.352</v>
      </c>
      <c r="U122" t="str">
        <f t="shared" si="3"/>
        <v>A0F928</v>
      </c>
      <c r="V122">
        <v>0</v>
      </c>
      <c r="W122">
        <v>0</v>
      </c>
      <c r="X122">
        <v>2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3</v>
      </c>
      <c r="AG122">
        <v>2</v>
      </c>
      <c r="AH122">
        <v>1</v>
      </c>
      <c r="AI122" t="s">
        <v>187</v>
      </c>
      <c r="AJ122">
        <v>35.778651000000004</v>
      </c>
      <c r="AK122" t="s">
        <v>188</v>
      </c>
      <c r="AL122">
        <v>-84.011228000000003</v>
      </c>
      <c r="AM122">
        <v>25</v>
      </c>
      <c r="AN122">
        <v>1625</v>
      </c>
      <c r="AO122" t="s">
        <v>118</v>
      </c>
      <c r="AP122">
        <v>72</v>
      </c>
      <c r="AQ122">
        <v>-116</v>
      </c>
      <c r="AR122">
        <v>960</v>
      </c>
      <c r="AZ122">
        <v>300</v>
      </c>
      <c r="BA122">
        <v>1</v>
      </c>
      <c r="BB122" t="str">
        <f t="shared" si="5"/>
        <v xml:space="preserve">N162AM  </v>
      </c>
      <c r="BC122">
        <v>1</v>
      </c>
      <c r="BE122">
        <v>0</v>
      </c>
      <c r="BF122">
        <v>0</v>
      </c>
      <c r="BG122">
        <v>0</v>
      </c>
      <c r="BH122">
        <v>1875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>"14:42:59.859"</f>
        <v>14:42:59.859</v>
      </c>
      <c r="CJ122">
        <v>3</v>
      </c>
      <c r="CK122">
        <v>2</v>
      </c>
      <c r="CL122">
        <v>0</v>
      </c>
      <c r="CM122">
        <v>2</v>
      </c>
      <c r="CN122">
        <v>0</v>
      </c>
      <c r="CO122">
        <v>5</v>
      </c>
      <c r="CP122" t="s">
        <v>119</v>
      </c>
      <c r="CQ122">
        <v>232</v>
      </c>
      <c r="CR122">
        <v>2</v>
      </c>
      <c r="CW122">
        <v>6052972</v>
      </c>
      <c r="CY122">
        <v>1</v>
      </c>
      <c r="CZ122">
        <v>0</v>
      </c>
      <c r="DA122">
        <v>1</v>
      </c>
      <c r="DB122">
        <v>0</v>
      </c>
      <c r="DC122">
        <v>0</v>
      </c>
      <c r="DD122">
        <v>1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"12/16/2021 14:43:00.114"</f>
        <v>12/16/2021 14:43:00.114</v>
      </c>
      <c r="C123" t="str">
        <f t="shared" si="4"/>
        <v>FFDFD3C0</v>
      </c>
      <c r="D123" t="s">
        <v>113</v>
      </c>
      <c r="E123">
        <v>8</v>
      </c>
      <c r="H123">
        <v>176</v>
      </c>
      <c r="I123" t="s">
        <v>114</v>
      </c>
      <c r="J123" t="s">
        <v>115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"14:42:59.852"</f>
        <v>14:42:59.852</v>
      </c>
      <c r="T123" t="str">
        <f>"14:42:59.352"</f>
        <v>14:42:59.352</v>
      </c>
      <c r="U123" t="str">
        <f t="shared" si="3"/>
        <v>A0F928</v>
      </c>
      <c r="V123">
        <v>0</v>
      </c>
      <c r="W123">
        <v>0</v>
      </c>
      <c r="X123">
        <v>2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3</v>
      </c>
      <c r="AG123">
        <v>2</v>
      </c>
      <c r="AH123">
        <v>1</v>
      </c>
      <c r="AI123" t="s">
        <v>187</v>
      </c>
      <c r="AJ123">
        <v>35.778651000000004</v>
      </c>
      <c r="AK123" t="s">
        <v>188</v>
      </c>
      <c r="AL123">
        <v>-84.011228000000003</v>
      </c>
      <c r="AM123">
        <v>25</v>
      </c>
      <c r="AN123">
        <v>1625</v>
      </c>
      <c r="AO123" t="s">
        <v>118</v>
      </c>
      <c r="AP123">
        <v>72</v>
      </c>
      <c r="AQ123">
        <v>-116</v>
      </c>
      <c r="AR123">
        <v>960</v>
      </c>
      <c r="AZ123">
        <v>300</v>
      </c>
      <c r="BA123">
        <v>1</v>
      </c>
      <c r="BB123" t="str">
        <f t="shared" si="5"/>
        <v xml:space="preserve">N162AM  </v>
      </c>
      <c r="BC123">
        <v>1</v>
      </c>
      <c r="BE123">
        <v>0</v>
      </c>
      <c r="BF123">
        <v>0</v>
      </c>
      <c r="BG123">
        <v>0</v>
      </c>
      <c r="BH123">
        <v>1875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>"14:42:59.859"</f>
        <v>14:42:59.859</v>
      </c>
      <c r="CJ123">
        <v>3</v>
      </c>
      <c r="CK123">
        <v>2</v>
      </c>
      <c r="CL123">
        <v>0</v>
      </c>
      <c r="CM123">
        <v>2</v>
      </c>
      <c r="CN123">
        <v>0</v>
      </c>
      <c r="CO123">
        <v>5</v>
      </c>
      <c r="CP123" t="s">
        <v>119</v>
      </c>
      <c r="CQ123">
        <v>232</v>
      </c>
      <c r="CR123">
        <v>2</v>
      </c>
      <c r="CW123">
        <v>6052972</v>
      </c>
      <c r="CY123">
        <v>1</v>
      </c>
      <c r="CZ123">
        <v>0</v>
      </c>
      <c r="DA123">
        <v>1</v>
      </c>
      <c r="DB123">
        <v>0</v>
      </c>
      <c r="DC123">
        <v>0</v>
      </c>
      <c r="DD123">
        <v>1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"12/16/2021 14:43:01.005"</f>
        <v>12/16/2021 14:43:01.005</v>
      </c>
      <c r="C124" t="str">
        <f t="shared" si="4"/>
        <v>FFDFD3C0</v>
      </c>
      <c r="D124" t="s">
        <v>133</v>
      </c>
      <c r="E124">
        <v>44</v>
      </c>
      <c r="H124">
        <v>131</v>
      </c>
      <c r="I124" t="s">
        <v>134</v>
      </c>
      <c r="J124" t="s">
        <v>135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"14:43:00.797"</f>
        <v>14:43:00.797</v>
      </c>
      <c r="T124" t="str">
        <f>"14:43:00.397"</f>
        <v>14:43:00.397</v>
      </c>
      <c r="U124" t="str">
        <f t="shared" si="3"/>
        <v>A0F928</v>
      </c>
      <c r="V124">
        <v>0</v>
      </c>
      <c r="W124">
        <v>0</v>
      </c>
      <c r="X124">
        <v>2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3</v>
      </c>
      <c r="AG124">
        <v>2</v>
      </c>
      <c r="AH124">
        <v>1</v>
      </c>
      <c r="AI124" t="s">
        <v>189</v>
      </c>
      <c r="AJ124">
        <v>35.778157999999998</v>
      </c>
      <c r="AK124" t="s">
        <v>190</v>
      </c>
      <c r="AL124">
        <v>-84.010841999999997</v>
      </c>
      <c r="AM124">
        <v>25</v>
      </c>
      <c r="AN124">
        <v>1625</v>
      </c>
      <c r="AO124" t="s">
        <v>118</v>
      </c>
      <c r="AP124">
        <v>78</v>
      </c>
      <c r="AQ124">
        <v>-113</v>
      </c>
      <c r="AR124">
        <v>1024</v>
      </c>
      <c r="AZ124">
        <v>300</v>
      </c>
      <c r="BA124">
        <v>1</v>
      </c>
      <c r="BB124" t="str">
        <f t="shared" si="5"/>
        <v xml:space="preserve">N162AM  </v>
      </c>
      <c r="BC124">
        <v>1</v>
      </c>
      <c r="BE124">
        <v>0</v>
      </c>
      <c r="BF124">
        <v>0</v>
      </c>
      <c r="BG124">
        <v>0</v>
      </c>
      <c r="BH124">
        <v>1875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>"14:43:00.798"</f>
        <v>14:43:00.798</v>
      </c>
      <c r="CJ124">
        <v>3</v>
      </c>
      <c r="CK124">
        <v>2</v>
      </c>
      <c r="CL124">
        <v>0</v>
      </c>
      <c r="CM124">
        <v>2</v>
      </c>
      <c r="CN124">
        <v>0</v>
      </c>
      <c r="CO124">
        <v>4</v>
      </c>
      <c r="CP124" t="s">
        <v>119</v>
      </c>
      <c r="CQ124">
        <v>232</v>
      </c>
      <c r="CR124">
        <v>1</v>
      </c>
      <c r="CW124">
        <v>14853765</v>
      </c>
      <c r="CY124">
        <v>1</v>
      </c>
      <c r="CZ124">
        <v>0</v>
      </c>
      <c r="DA124">
        <v>0</v>
      </c>
      <c r="DB124">
        <v>0</v>
      </c>
      <c r="DC124">
        <v>0</v>
      </c>
      <c r="DD124">
        <v>1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"12/16/2021 14:43:01.005"</f>
        <v>12/16/2021 14:43:01.005</v>
      </c>
      <c r="C125" t="str">
        <f t="shared" si="4"/>
        <v>FFDFD3C0</v>
      </c>
      <c r="D125" t="s">
        <v>124</v>
      </c>
      <c r="E125">
        <v>10</v>
      </c>
      <c r="F125">
        <v>1010</v>
      </c>
      <c r="G125" t="s">
        <v>130</v>
      </c>
      <c r="J125" t="s">
        <v>125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"14:43:00.797"</f>
        <v>14:43:00.797</v>
      </c>
      <c r="T125" t="str">
        <f>"14:43:00.397"</f>
        <v>14:43:00.397</v>
      </c>
      <c r="U125" t="str">
        <f t="shared" si="3"/>
        <v>A0F928</v>
      </c>
      <c r="V125">
        <v>0</v>
      </c>
      <c r="W125">
        <v>0</v>
      </c>
      <c r="X125">
        <v>2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0</v>
      </c>
      <c r="AG125">
        <v>2</v>
      </c>
      <c r="AH125">
        <v>1</v>
      </c>
      <c r="AI125" t="s">
        <v>189</v>
      </c>
      <c r="AJ125">
        <v>35.778157999999998</v>
      </c>
      <c r="AK125" t="s">
        <v>190</v>
      </c>
      <c r="AL125">
        <v>-84.010841999999997</v>
      </c>
      <c r="AM125">
        <v>25</v>
      </c>
      <c r="AN125">
        <v>1625</v>
      </c>
      <c r="AO125" t="s">
        <v>118</v>
      </c>
      <c r="AP125">
        <v>78</v>
      </c>
      <c r="AQ125">
        <v>-113</v>
      </c>
      <c r="AR125">
        <v>1024</v>
      </c>
      <c r="AZ125">
        <v>300</v>
      </c>
      <c r="BA125">
        <v>1</v>
      </c>
      <c r="BB125" t="str">
        <f t="shared" si="5"/>
        <v xml:space="preserve">N162AM  </v>
      </c>
      <c r="BC125">
        <v>1</v>
      </c>
      <c r="BE125">
        <v>0</v>
      </c>
      <c r="BF125">
        <v>0</v>
      </c>
      <c r="BG125">
        <v>0</v>
      </c>
      <c r="BH125">
        <v>1875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>"14:43:00.798"</f>
        <v>14:43:00.798</v>
      </c>
      <c r="CJ125">
        <v>2</v>
      </c>
      <c r="CK125">
        <v>2</v>
      </c>
      <c r="CL125">
        <v>0</v>
      </c>
      <c r="CM125">
        <v>2</v>
      </c>
      <c r="CN125">
        <v>0</v>
      </c>
      <c r="CO125">
        <v>4</v>
      </c>
      <c r="CP125" t="s">
        <v>119</v>
      </c>
      <c r="CQ125">
        <v>232</v>
      </c>
      <c r="CR125">
        <v>1</v>
      </c>
      <c r="CW125">
        <v>14853765</v>
      </c>
      <c r="CY125">
        <v>1</v>
      </c>
      <c r="CZ125">
        <v>0</v>
      </c>
      <c r="DA125">
        <v>1</v>
      </c>
      <c r="DB125">
        <v>0</v>
      </c>
      <c r="DC125">
        <v>0</v>
      </c>
      <c r="DD125">
        <v>1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"12/16/2021 14:43:01.005"</f>
        <v>12/16/2021 14:43:01.005</v>
      </c>
      <c r="C126" t="str">
        <f t="shared" si="4"/>
        <v>FFDFD3C0</v>
      </c>
      <c r="D126" t="s">
        <v>124</v>
      </c>
      <c r="E126">
        <v>5</v>
      </c>
      <c r="F126">
        <v>1005</v>
      </c>
      <c r="G126" t="s">
        <v>114</v>
      </c>
      <c r="J126" t="s">
        <v>125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"14:43:00.797"</f>
        <v>14:43:00.797</v>
      </c>
      <c r="T126" t="str">
        <f>"14:43:00.397"</f>
        <v>14:43:00.397</v>
      </c>
      <c r="U126" t="str">
        <f t="shared" si="3"/>
        <v>A0F928</v>
      </c>
      <c r="V126">
        <v>0</v>
      </c>
      <c r="W126">
        <v>0</v>
      </c>
      <c r="X126">
        <v>2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3</v>
      </c>
      <c r="AG126">
        <v>2</v>
      </c>
      <c r="AH126">
        <v>1</v>
      </c>
      <c r="AI126" t="s">
        <v>189</v>
      </c>
      <c r="AJ126">
        <v>35.778157999999998</v>
      </c>
      <c r="AK126" t="s">
        <v>190</v>
      </c>
      <c r="AL126">
        <v>-84.010841999999997</v>
      </c>
      <c r="AM126">
        <v>25</v>
      </c>
      <c r="AN126">
        <v>1625</v>
      </c>
      <c r="AO126" t="s">
        <v>118</v>
      </c>
      <c r="AP126">
        <v>78</v>
      </c>
      <c r="AQ126">
        <v>-113</v>
      </c>
      <c r="AR126">
        <v>1024</v>
      </c>
      <c r="AZ126">
        <v>300</v>
      </c>
      <c r="BA126">
        <v>1</v>
      </c>
      <c r="BB126" t="str">
        <f t="shared" si="5"/>
        <v xml:space="preserve">N162AM  </v>
      </c>
      <c r="BC126">
        <v>1</v>
      </c>
      <c r="BE126">
        <v>0</v>
      </c>
      <c r="BF126">
        <v>0</v>
      </c>
      <c r="BG126">
        <v>0</v>
      </c>
      <c r="BH126">
        <v>1875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>"14:43:00.798"</f>
        <v>14:43:00.798</v>
      </c>
      <c r="CJ126">
        <v>3</v>
      </c>
      <c r="CK126">
        <v>2</v>
      </c>
      <c r="CL126">
        <v>0</v>
      </c>
      <c r="CM126">
        <v>2</v>
      </c>
      <c r="CN126">
        <v>0</v>
      </c>
      <c r="CO126">
        <v>4</v>
      </c>
      <c r="CP126" t="s">
        <v>119</v>
      </c>
      <c r="CQ126">
        <v>232</v>
      </c>
      <c r="CR126">
        <v>1</v>
      </c>
      <c r="CW126">
        <v>14853765</v>
      </c>
      <c r="CY126">
        <v>1</v>
      </c>
      <c r="CZ126">
        <v>0</v>
      </c>
      <c r="DA126">
        <v>1</v>
      </c>
      <c r="DB126">
        <v>0</v>
      </c>
      <c r="DC126">
        <v>0</v>
      </c>
      <c r="DD126">
        <v>1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"12/16/2021 14:43:01.020"</f>
        <v>12/16/2021 14:43:01.020</v>
      </c>
      <c r="C127" t="str">
        <f t="shared" si="4"/>
        <v>FFDFD3C0</v>
      </c>
      <c r="D127" t="s">
        <v>113</v>
      </c>
      <c r="E127">
        <v>8</v>
      </c>
      <c r="H127">
        <v>176</v>
      </c>
      <c r="I127" t="s">
        <v>114</v>
      </c>
      <c r="J127" t="s">
        <v>115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"14:43:00.797"</f>
        <v>14:43:00.797</v>
      </c>
      <c r="T127" t="str">
        <f>"14:43:00.397"</f>
        <v>14:43:00.397</v>
      </c>
      <c r="U127" t="str">
        <f t="shared" si="3"/>
        <v>A0F928</v>
      </c>
      <c r="V127">
        <v>0</v>
      </c>
      <c r="W127">
        <v>0</v>
      </c>
      <c r="X127">
        <v>2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3</v>
      </c>
      <c r="AG127">
        <v>2</v>
      </c>
      <c r="AH127">
        <v>1</v>
      </c>
      <c r="AI127" t="s">
        <v>189</v>
      </c>
      <c r="AJ127">
        <v>35.778157999999998</v>
      </c>
      <c r="AK127" t="s">
        <v>190</v>
      </c>
      <c r="AL127">
        <v>-84.010841999999997</v>
      </c>
      <c r="AM127">
        <v>25</v>
      </c>
      <c r="AN127">
        <v>1625</v>
      </c>
      <c r="AO127" t="s">
        <v>118</v>
      </c>
      <c r="AP127">
        <v>78</v>
      </c>
      <c r="AQ127">
        <v>-113</v>
      </c>
      <c r="AR127">
        <v>1024</v>
      </c>
      <c r="AZ127">
        <v>300</v>
      </c>
      <c r="BA127">
        <v>1</v>
      </c>
      <c r="BB127" t="str">
        <f t="shared" si="5"/>
        <v xml:space="preserve">N162AM  </v>
      </c>
      <c r="BC127">
        <v>1</v>
      </c>
      <c r="BE127">
        <v>0</v>
      </c>
      <c r="BF127">
        <v>0</v>
      </c>
      <c r="BG127">
        <v>0</v>
      </c>
      <c r="BH127">
        <v>1875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>"14:43:00.798"</f>
        <v>14:43:00.798</v>
      </c>
      <c r="CJ127">
        <v>3</v>
      </c>
      <c r="CK127">
        <v>2</v>
      </c>
      <c r="CL127">
        <v>0</v>
      </c>
      <c r="CM127">
        <v>2</v>
      </c>
      <c r="CN127">
        <v>0</v>
      </c>
      <c r="CO127">
        <v>4</v>
      </c>
      <c r="CP127" t="s">
        <v>119</v>
      </c>
      <c r="CQ127">
        <v>232</v>
      </c>
      <c r="CR127">
        <v>1</v>
      </c>
      <c r="CW127">
        <v>14853765</v>
      </c>
      <c r="CY127">
        <v>1</v>
      </c>
      <c r="CZ127">
        <v>0</v>
      </c>
      <c r="DA127">
        <v>1</v>
      </c>
      <c r="DB127">
        <v>0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"12/16/2021 14:43:02.099"</f>
        <v>12/16/2021 14:43:02.099</v>
      </c>
      <c r="C128" t="str">
        <f t="shared" si="4"/>
        <v>FFDFD3C0</v>
      </c>
      <c r="D128" t="s">
        <v>113</v>
      </c>
      <c r="E128">
        <v>8</v>
      </c>
      <c r="H128">
        <v>176</v>
      </c>
      <c r="I128" t="s">
        <v>114</v>
      </c>
      <c r="J128" t="s">
        <v>115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"14:43:01.891"</f>
        <v>14:43:01.891</v>
      </c>
      <c r="T128" t="str">
        <f>"14:43:01.391"</f>
        <v>14:43:01.391</v>
      </c>
      <c r="U128" t="str">
        <f t="shared" si="3"/>
        <v>A0F928</v>
      </c>
      <c r="V128">
        <v>0</v>
      </c>
      <c r="W128">
        <v>0</v>
      </c>
      <c r="X128">
        <v>2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3</v>
      </c>
      <c r="AG128">
        <v>2</v>
      </c>
      <c r="AH128">
        <v>1</v>
      </c>
      <c r="AI128" t="s">
        <v>191</v>
      </c>
      <c r="AJ128">
        <v>35.777621000000003</v>
      </c>
      <c r="AK128" t="s">
        <v>192</v>
      </c>
      <c r="AL128">
        <v>-84.010283999999999</v>
      </c>
      <c r="AM128">
        <v>25</v>
      </c>
      <c r="AN128">
        <v>1650</v>
      </c>
      <c r="AO128" t="s">
        <v>118</v>
      </c>
      <c r="AP128">
        <v>83</v>
      </c>
      <c r="AQ128">
        <v>-109</v>
      </c>
      <c r="AR128">
        <v>1088</v>
      </c>
      <c r="AZ128">
        <v>300</v>
      </c>
      <c r="BA128">
        <v>1</v>
      </c>
      <c r="BB128" t="str">
        <f t="shared" si="5"/>
        <v xml:space="preserve">N162AM  </v>
      </c>
      <c r="BC128">
        <v>1</v>
      </c>
      <c r="BE128">
        <v>0</v>
      </c>
      <c r="BF128">
        <v>0</v>
      </c>
      <c r="BG128">
        <v>0</v>
      </c>
      <c r="BH128">
        <v>1925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>"14:43:01.891"</f>
        <v>14:43:01.891</v>
      </c>
      <c r="CJ128">
        <v>3</v>
      </c>
      <c r="CK128">
        <v>2</v>
      </c>
      <c r="CL128">
        <v>0</v>
      </c>
      <c r="CM128">
        <v>2</v>
      </c>
      <c r="CN128">
        <v>0</v>
      </c>
      <c r="CO128">
        <v>5</v>
      </c>
      <c r="CP128" t="s">
        <v>119</v>
      </c>
      <c r="CQ128">
        <v>232</v>
      </c>
      <c r="CR128">
        <v>2</v>
      </c>
      <c r="CW128">
        <v>6055950</v>
      </c>
      <c r="CY128">
        <v>1</v>
      </c>
      <c r="CZ128">
        <v>0</v>
      </c>
      <c r="DA128">
        <v>0</v>
      </c>
      <c r="DB128">
        <v>0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"12/16/2021 14:43:02.099"</f>
        <v>12/16/2021 14:43:02.099</v>
      </c>
      <c r="C129" t="str">
        <f t="shared" si="4"/>
        <v>FFDFD3C0</v>
      </c>
      <c r="D129" t="s">
        <v>124</v>
      </c>
      <c r="E129">
        <v>10</v>
      </c>
      <c r="F129">
        <v>1010</v>
      </c>
      <c r="G129" t="s">
        <v>130</v>
      </c>
      <c r="J129" t="s">
        <v>125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"14:43:01.891"</f>
        <v>14:43:01.891</v>
      </c>
      <c r="T129" t="str">
        <f>"14:43:01.391"</f>
        <v>14:43:01.391</v>
      </c>
      <c r="U129" t="str">
        <f t="shared" si="3"/>
        <v>A0F928</v>
      </c>
      <c r="V129">
        <v>0</v>
      </c>
      <c r="W129">
        <v>0</v>
      </c>
      <c r="X129">
        <v>2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0</v>
      </c>
      <c r="AG129">
        <v>2</v>
      </c>
      <c r="AH129">
        <v>1</v>
      </c>
      <c r="AI129" t="s">
        <v>191</v>
      </c>
      <c r="AJ129">
        <v>35.777621000000003</v>
      </c>
      <c r="AK129" t="s">
        <v>192</v>
      </c>
      <c r="AL129">
        <v>-84.010283999999999</v>
      </c>
      <c r="AM129">
        <v>25</v>
      </c>
      <c r="AN129">
        <v>1650</v>
      </c>
      <c r="AO129" t="s">
        <v>118</v>
      </c>
      <c r="AP129">
        <v>83</v>
      </c>
      <c r="AQ129">
        <v>-109</v>
      </c>
      <c r="AR129">
        <v>1088</v>
      </c>
      <c r="AZ129">
        <v>300</v>
      </c>
      <c r="BA129">
        <v>1</v>
      </c>
      <c r="BB129" t="str">
        <f t="shared" si="5"/>
        <v xml:space="preserve">N162AM  </v>
      </c>
      <c r="BC129">
        <v>1</v>
      </c>
      <c r="BE129">
        <v>0</v>
      </c>
      <c r="BF129">
        <v>0</v>
      </c>
      <c r="BG129">
        <v>0</v>
      </c>
      <c r="BH129">
        <v>1925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>"14:43:01.891"</f>
        <v>14:43:01.891</v>
      </c>
      <c r="CJ129">
        <v>2</v>
      </c>
      <c r="CK129">
        <v>2</v>
      </c>
      <c r="CL129">
        <v>0</v>
      </c>
      <c r="CM129">
        <v>2</v>
      </c>
      <c r="CN129">
        <v>0</v>
      </c>
      <c r="CO129">
        <v>5</v>
      </c>
      <c r="CP129" t="s">
        <v>119</v>
      </c>
      <c r="CQ129">
        <v>232</v>
      </c>
      <c r="CR129">
        <v>2</v>
      </c>
      <c r="CW129">
        <v>6055950</v>
      </c>
      <c r="CY129">
        <v>1</v>
      </c>
      <c r="CZ129">
        <v>0</v>
      </c>
      <c r="DA129">
        <v>1</v>
      </c>
      <c r="DB129">
        <v>0</v>
      </c>
      <c r="DC129">
        <v>0</v>
      </c>
      <c r="DD129">
        <v>1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"12/16/2021 14:43:02.099"</f>
        <v>12/16/2021 14:43:02.099</v>
      </c>
      <c r="C130" t="str">
        <f t="shared" si="4"/>
        <v>FFDFD3C0</v>
      </c>
      <c r="D130" t="s">
        <v>133</v>
      </c>
      <c r="E130">
        <v>44</v>
      </c>
      <c r="H130">
        <v>131</v>
      </c>
      <c r="I130" t="s">
        <v>134</v>
      </c>
      <c r="J130" t="s">
        <v>135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"14:43:01.891"</f>
        <v>14:43:01.891</v>
      </c>
      <c r="T130" t="str">
        <f>"14:43:01.391"</f>
        <v>14:43:01.391</v>
      </c>
      <c r="U130" t="str">
        <f t="shared" ref="U130:U193" si="6">"A0F928"</f>
        <v>A0F928</v>
      </c>
      <c r="V130">
        <v>0</v>
      </c>
      <c r="W130">
        <v>0</v>
      </c>
      <c r="X130">
        <v>2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3</v>
      </c>
      <c r="AG130">
        <v>2</v>
      </c>
      <c r="AH130">
        <v>1</v>
      </c>
      <c r="AI130" t="s">
        <v>191</v>
      </c>
      <c r="AJ130">
        <v>35.777621000000003</v>
      </c>
      <c r="AK130" t="s">
        <v>192</v>
      </c>
      <c r="AL130">
        <v>-84.010283999999999</v>
      </c>
      <c r="AM130">
        <v>25</v>
      </c>
      <c r="AN130">
        <v>1650</v>
      </c>
      <c r="AO130" t="s">
        <v>118</v>
      </c>
      <c r="AP130">
        <v>83</v>
      </c>
      <c r="AQ130">
        <v>-109</v>
      </c>
      <c r="AR130">
        <v>1088</v>
      </c>
      <c r="AZ130">
        <v>300</v>
      </c>
      <c r="BA130">
        <v>1</v>
      </c>
      <c r="BB130" t="str">
        <f t="shared" si="5"/>
        <v xml:space="preserve">N162AM  </v>
      </c>
      <c r="BC130">
        <v>1</v>
      </c>
      <c r="BE130">
        <v>0</v>
      </c>
      <c r="BF130">
        <v>0</v>
      </c>
      <c r="BG130">
        <v>0</v>
      </c>
      <c r="BH130">
        <v>1925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>"14:43:01.891"</f>
        <v>14:43:01.891</v>
      </c>
      <c r="CJ130">
        <v>3</v>
      </c>
      <c r="CK130">
        <v>2</v>
      </c>
      <c r="CL130">
        <v>0</v>
      </c>
      <c r="CM130">
        <v>2</v>
      </c>
      <c r="CN130">
        <v>0</v>
      </c>
      <c r="CO130">
        <v>5</v>
      </c>
      <c r="CP130" t="s">
        <v>119</v>
      </c>
      <c r="CQ130">
        <v>232</v>
      </c>
      <c r="CR130">
        <v>2</v>
      </c>
      <c r="CW130">
        <v>6055950</v>
      </c>
      <c r="CY130">
        <v>1</v>
      </c>
      <c r="CZ130">
        <v>0</v>
      </c>
      <c r="DA130">
        <v>1</v>
      </c>
      <c r="DB130">
        <v>0</v>
      </c>
      <c r="DC130">
        <v>0</v>
      </c>
      <c r="DD130">
        <v>1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"12/16/2021 14:43:02.099"</f>
        <v>12/16/2021 14:43:02.099</v>
      </c>
      <c r="C131" t="str">
        <f t="shared" si="4"/>
        <v>FFDFD3C0</v>
      </c>
      <c r="D131" t="s">
        <v>124</v>
      </c>
      <c r="E131">
        <v>5</v>
      </c>
      <c r="F131">
        <v>1005</v>
      </c>
      <c r="G131" t="s">
        <v>114</v>
      </c>
      <c r="J131" t="s">
        <v>125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"14:43:01.891"</f>
        <v>14:43:01.891</v>
      </c>
      <c r="T131" t="str">
        <f>"14:43:01.391"</f>
        <v>14:43:01.391</v>
      </c>
      <c r="U131" t="str">
        <f t="shared" si="6"/>
        <v>A0F928</v>
      </c>
      <c r="V131">
        <v>0</v>
      </c>
      <c r="W131">
        <v>0</v>
      </c>
      <c r="X131">
        <v>2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3</v>
      </c>
      <c r="AG131">
        <v>2</v>
      </c>
      <c r="AH131">
        <v>1</v>
      </c>
      <c r="AI131" t="s">
        <v>191</v>
      </c>
      <c r="AJ131">
        <v>35.777621000000003</v>
      </c>
      <c r="AK131" t="s">
        <v>192</v>
      </c>
      <c r="AL131">
        <v>-84.010283999999999</v>
      </c>
      <c r="AM131">
        <v>25</v>
      </c>
      <c r="AN131">
        <v>1650</v>
      </c>
      <c r="AO131" t="s">
        <v>118</v>
      </c>
      <c r="AP131">
        <v>83</v>
      </c>
      <c r="AQ131">
        <v>-109</v>
      </c>
      <c r="AR131">
        <v>1088</v>
      </c>
      <c r="AZ131">
        <v>300</v>
      </c>
      <c r="BA131">
        <v>1</v>
      </c>
      <c r="BB131" t="str">
        <f t="shared" si="5"/>
        <v xml:space="preserve">N162AM  </v>
      </c>
      <c r="BC131">
        <v>1</v>
      </c>
      <c r="BE131">
        <v>0</v>
      </c>
      <c r="BF131">
        <v>0</v>
      </c>
      <c r="BG131">
        <v>0</v>
      </c>
      <c r="BH131">
        <v>1925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>"14:43:01.891"</f>
        <v>14:43:01.891</v>
      </c>
      <c r="CJ131">
        <v>3</v>
      </c>
      <c r="CK131">
        <v>2</v>
      </c>
      <c r="CL131">
        <v>0</v>
      </c>
      <c r="CM131">
        <v>2</v>
      </c>
      <c r="CN131">
        <v>0</v>
      </c>
      <c r="CO131">
        <v>5</v>
      </c>
      <c r="CP131" t="s">
        <v>119</v>
      </c>
      <c r="CQ131">
        <v>232</v>
      </c>
      <c r="CR131">
        <v>2</v>
      </c>
      <c r="CW131">
        <v>6055950</v>
      </c>
      <c r="CY131">
        <v>1</v>
      </c>
      <c r="CZ131">
        <v>0</v>
      </c>
      <c r="DA131">
        <v>1</v>
      </c>
      <c r="DB131">
        <v>0</v>
      </c>
      <c r="DC131">
        <v>0</v>
      </c>
      <c r="DD131">
        <v>1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"12/16/2021 14:43:03.442"</f>
        <v>12/16/2021 14:43:03.442</v>
      </c>
      <c r="C132" t="str">
        <f t="shared" si="4"/>
        <v>FFDFD3C0</v>
      </c>
      <c r="D132" t="s">
        <v>124</v>
      </c>
      <c r="E132">
        <v>10</v>
      </c>
      <c r="F132">
        <v>1010</v>
      </c>
      <c r="G132" t="s">
        <v>130</v>
      </c>
      <c r="J132" t="s">
        <v>125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"14:43:02.938"</f>
        <v>14:43:02.938</v>
      </c>
      <c r="T132" t="str">
        <f>"14:43:02.538"</f>
        <v>14:43:02.538</v>
      </c>
      <c r="U132" t="str">
        <f t="shared" si="6"/>
        <v>A0F928</v>
      </c>
      <c r="V132">
        <v>0</v>
      </c>
      <c r="W132">
        <v>0</v>
      </c>
      <c r="X132">
        <v>2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0</v>
      </c>
      <c r="AG132">
        <v>2</v>
      </c>
      <c r="AH132">
        <v>1</v>
      </c>
      <c r="AI132" t="s">
        <v>193</v>
      </c>
      <c r="AJ132">
        <v>35.777127999999998</v>
      </c>
      <c r="AK132" t="s">
        <v>194</v>
      </c>
      <c r="AL132">
        <v>-84.009769000000006</v>
      </c>
      <c r="AM132">
        <v>25</v>
      </c>
      <c r="AN132">
        <v>1675</v>
      </c>
      <c r="AO132" t="s">
        <v>118</v>
      </c>
      <c r="AP132">
        <v>90</v>
      </c>
      <c r="AQ132">
        <v>-104</v>
      </c>
      <c r="AR132">
        <v>1088</v>
      </c>
      <c r="AZ132">
        <v>300</v>
      </c>
      <c r="BA132">
        <v>1</v>
      </c>
      <c r="BB132" t="str">
        <f t="shared" si="5"/>
        <v xml:space="preserve">N162AM  </v>
      </c>
      <c r="BC132">
        <v>1</v>
      </c>
      <c r="BE132">
        <v>0</v>
      </c>
      <c r="BF132">
        <v>0</v>
      </c>
      <c r="BG132">
        <v>0</v>
      </c>
      <c r="BH132">
        <v>1925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>"14:43:02.944"</f>
        <v>14:43:02.944</v>
      </c>
      <c r="CJ132">
        <v>2</v>
      </c>
      <c r="CK132">
        <v>2</v>
      </c>
      <c r="CL132">
        <v>0</v>
      </c>
      <c r="CM132">
        <v>2</v>
      </c>
      <c r="CN132">
        <v>0</v>
      </c>
      <c r="CO132">
        <v>2</v>
      </c>
      <c r="CP132" t="s">
        <v>119</v>
      </c>
      <c r="CQ132">
        <v>216</v>
      </c>
      <c r="CR132">
        <v>0</v>
      </c>
      <c r="CW132">
        <v>350174</v>
      </c>
      <c r="CY132">
        <v>1</v>
      </c>
      <c r="CZ132">
        <v>0</v>
      </c>
      <c r="DA132">
        <v>0</v>
      </c>
      <c r="DB132">
        <v>0</v>
      </c>
      <c r="DC132">
        <v>0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"12/16/2021 14:43:03.442"</f>
        <v>12/16/2021 14:43:03.442</v>
      </c>
      <c r="C133" t="str">
        <f t="shared" si="4"/>
        <v>FFDFD3C0</v>
      </c>
      <c r="D133" t="s">
        <v>113</v>
      </c>
      <c r="E133">
        <v>8</v>
      </c>
      <c r="H133">
        <v>176</v>
      </c>
      <c r="I133" t="s">
        <v>114</v>
      </c>
      <c r="J133" t="s">
        <v>115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"14:43:02.938"</f>
        <v>14:43:02.938</v>
      </c>
      <c r="T133" t="str">
        <f>"14:43:02.538"</f>
        <v>14:43:02.538</v>
      </c>
      <c r="U133" t="str">
        <f t="shared" si="6"/>
        <v>A0F928</v>
      </c>
      <c r="V133">
        <v>0</v>
      </c>
      <c r="W133">
        <v>0</v>
      </c>
      <c r="X133">
        <v>2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3</v>
      </c>
      <c r="AG133">
        <v>2</v>
      </c>
      <c r="AH133">
        <v>1</v>
      </c>
      <c r="AI133" t="s">
        <v>193</v>
      </c>
      <c r="AJ133">
        <v>35.777127999999998</v>
      </c>
      <c r="AK133" t="s">
        <v>194</v>
      </c>
      <c r="AL133">
        <v>-84.009769000000006</v>
      </c>
      <c r="AM133">
        <v>25</v>
      </c>
      <c r="AN133">
        <v>1675</v>
      </c>
      <c r="AO133" t="s">
        <v>118</v>
      </c>
      <c r="AP133">
        <v>90</v>
      </c>
      <c r="AQ133">
        <v>-104</v>
      </c>
      <c r="AR133">
        <v>1088</v>
      </c>
      <c r="AZ133">
        <v>300</v>
      </c>
      <c r="BA133">
        <v>1</v>
      </c>
      <c r="BB133" t="str">
        <f t="shared" si="5"/>
        <v xml:space="preserve">N162AM  </v>
      </c>
      <c r="BC133">
        <v>1</v>
      </c>
      <c r="BE133">
        <v>0</v>
      </c>
      <c r="BF133">
        <v>0</v>
      </c>
      <c r="BG133">
        <v>0</v>
      </c>
      <c r="BH133">
        <v>1925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>"14:43:02.944"</f>
        <v>14:43:02.944</v>
      </c>
      <c r="CJ133">
        <v>3</v>
      </c>
      <c r="CK133">
        <v>2</v>
      </c>
      <c r="CL133">
        <v>0</v>
      </c>
      <c r="CM133">
        <v>2</v>
      </c>
      <c r="CN133">
        <v>0</v>
      </c>
      <c r="CO133">
        <v>2</v>
      </c>
      <c r="CP133" t="s">
        <v>119</v>
      </c>
      <c r="CQ133">
        <v>216</v>
      </c>
      <c r="CR133">
        <v>0</v>
      </c>
      <c r="CW133">
        <v>350174</v>
      </c>
      <c r="CY133">
        <v>1</v>
      </c>
      <c r="CZ133">
        <v>0</v>
      </c>
      <c r="DA133">
        <v>1</v>
      </c>
      <c r="DB133">
        <v>0</v>
      </c>
      <c r="DC133">
        <v>0</v>
      </c>
      <c r="DD133">
        <v>1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"12/16/2021 14:43:03.458"</f>
        <v>12/16/2021 14:43:03.458</v>
      </c>
      <c r="C134" t="str">
        <f t="shared" si="4"/>
        <v>FFDFD3C0</v>
      </c>
      <c r="D134" t="s">
        <v>124</v>
      </c>
      <c r="E134">
        <v>5</v>
      </c>
      <c r="F134">
        <v>1005</v>
      </c>
      <c r="G134" t="s">
        <v>114</v>
      </c>
      <c r="J134" t="s">
        <v>125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"14:43:02.938"</f>
        <v>14:43:02.938</v>
      </c>
      <c r="T134" t="str">
        <f>"14:43:02.538"</f>
        <v>14:43:02.538</v>
      </c>
      <c r="U134" t="str">
        <f t="shared" si="6"/>
        <v>A0F928</v>
      </c>
      <c r="V134">
        <v>0</v>
      </c>
      <c r="W134">
        <v>0</v>
      </c>
      <c r="X134">
        <v>2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3</v>
      </c>
      <c r="AG134">
        <v>2</v>
      </c>
      <c r="AH134">
        <v>1</v>
      </c>
      <c r="AI134" t="s">
        <v>193</v>
      </c>
      <c r="AJ134">
        <v>35.777127999999998</v>
      </c>
      <c r="AK134" t="s">
        <v>194</v>
      </c>
      <c r="AL134">
        <v>-84.009769000000006</v>
      </c>
      <c r="AM134">
        <v>25</v>
      </c>
      <c r="AN134">
        <v>1675</v>
      </c>
      <c r="AO134" t="s">
        <v>118</v>
      </c>
      <c r="AP134">
        <v>90</v>
      </c>
      <c r="AQ134">
        <v>-104</v>
      </c>
      <c r="AR134">
        <v>1088</v>
      </c>
      <c r="AZ134">
        <v>300</v>
      </c>
      <c r="BA134">
        <v>1</v>
      </c>
      <c r="BB134" t="str">
        <f t="shared" si="5"/>
        <v xml:space="preserve">N162AM  </v>
      </c>
      <c r="BC134">
        <v>1</v>
      </c>
      <c r="BE134">
        <v>0</v>
      </c>
      <c r="BF134">
        <v>0</v>
      </c>
      <c r="BG134">
        <v>0</v>
      </c>
      <c r="BH134">
        <v>1925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>"14:43:02.944"</f>
        <v>14:43:02.944</v>
      </c>
      <c r="CJ134">
        <v>3</v>
      </c>
      <c r="CK134">
        <v>2</v>
      </c>
      <c r="CL134">
        <v>0</v>
      </c>
      <c r="CM134">
        <v>2</v>
      </c>
      <c r="CN134">
        <v>0</v>
      </c>
      <c r="CO134">
        <v>2</v>
      </c>
      <c r="CP134" t="s">
        <v>119</v>
      </c>
      <c r="CQ134">
        <v>216</v>
      </c>
      <c r="CR134">
        <v>0</v>
      </c>
      <c r="CW134">
        <v>350174</v>
      </c>
      <c r="CY134">
        <v>1</v>
      </c>
      <c r="CZ134">
        <v>0</v>
      </c>
      <c r="DA134">
        <v>1</v>
      </c>
      <c r="DB134">
        <v>0</v>
      </c>
      <c r="DC134">
        <v>0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"12/16/2021 14:43:03.458"</f>
        <v>12/16/2021 14:43:03.458</v>
      </c>
      <c r="C135" t="str">
        <f t="shared" si="4"/>
        <v>FFDFD3C0</v>
      </c>
      <c r="D135" t="s">
        <v>133</v>
      </c>
      <c r="E135">
        <v>44</v>
      </c>
      <c r="H135">
        <v>131</v>
      </c>
      <c r="I135" t="s">
        <v>134</v>
      </c>
      <c r="J135" t="s">
        <v>135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"14:43:02.938"</f>
        <v>14:43:02.938</v>
      </c>
      <c r="T135" t="str">
        <f>"14:43:02.538"</f>
        <v>14:43:02.538</v>
      </c>
      <c r="U135" t="str">
        <f t="shared" si="6"/>
        <v>A0F928</v>
      </c>
      <c r="V135">
        <v>0</v>
      </c>
      <c r="W135">
        <v>0</v>
      </c>
      <c r="X135">
        <v>2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3</v>
      </c>
      <c r="AG135">
        <v>2</v>
      </c>
      <c r="AH135">
        <v>1</v>
      </c>
      <c r="AI135" t="s">
        <v>193</v>
      </c>
      <c r="AJ135">
        <v>35.777127999999998</v>
      </c>
      <c r="AK135" t="s">
        <v>194</v>
      </c>
      <c r="AL135">
        <v>-84.009769000000006</v>
      </c>
      <c r="AM135">
        <v>25</v>
      </c>
      <c r="AN135">
        <v>1675</v>
      </c>
      <c r="AO135" t="s">
        <v>118</v>
      </c>
      <c r="AP135">
        <v>90</v>
      </c>
      <c r="AQ135">
        <v>-104</v>
      </c>
      <c r="AR135">
        <v>1088</v>
      </c>
      <c r="AZ135">
        <v>300</v>
      </c>
      <c r="BA135">
        <v>1</v>
      </c>
      <c r="BB135" t="str">
        <f t="shared" si="5"/>
        <v xml:space="preserve">N162AM  </v>
      </c>
      <c r="BC135">
        <v>1</v>
      </c>
      <c r="BE135">
        <v>0</v>
      </c>
      <c r="BF135">
        <v>0</v>
      </c>
      <c r="BG135">
        <v>0</v>
      </c>
      <c r="BH135">
        <v>1925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>"14:43:02.944"</f>
        <v>14:43:02.944</v>
      </c>
      <c r="CJ135">
        <v>3</v>
      </c>
      <c r="CK135">
        <v>2</v>
      </c>
      <c r="CL135">
        <v>0</v>
      </c>
      <c r="CM135">
        <v>2</v>
      </c>
      <c r="CN135">
        <v>0</v>
      </c>
      <c r="CO135">
        <v>2</v>
      </c>
      <c r="CP135" t="s">
        <v>119</v>
      </c>
      <c r="CQ135">
        <v>216</v>
      </c>
      <c r="CR135">
        <v>0</v>
      </c>
      <c r="CW135">
        <v>350174</v>
      </c>
      <c r="CY135">
        <v>1</v>
      </c>
      <c r="CZ135">
        <v>0</v>
      </c>
      <c r="DA135">
        <v>1</v>
      </c>
      <c r="DB135">
        <v>0</v>
      </c>
      <c r="DC135">
        <v>0</v>
      </c>
      <c r="DD135">
        <v>1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"12/16/2021 14:43:04.600"</f>
        <v>12/16/2021 14:43:04.600</v>
      </c>
      <c r="C136" t="str">
        <f t="shared" si="4"/>
        <v>FFDFD3C0</v>
      </c>
      <c r="D136" t="s">
        <v>124</v>
      </c>
      <c r="E136">
        <v>10</v>
      </c>
      <c r="F136">
        <v>1010</v>
      </c>
      <c r="G136" t="s">
        <v>130</v>
      </c>
      <c r="J136" t="s">
        <v>125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"14:43:04.398"</f>
        <v>14:43:04.398</v>
      </c>
      <c r="T136" t="str">
        <f>"14:43:03.998"</f>
        <v>14:43:03.998</v>
      </c>
      <c r="U136" t="str">
        <f t="shared" si="6"/>
        <v>A0F928</v>
      </c>
      <c r="V136">
        <v>0</v>
      </c>
      <c r="W136">
        <v>0</v>
      </c>
      <c r="X136">
        <v>2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0</v>
      </c>
      <c r="AG136">
        <v>2</v>
      </c>
      <c r="AH136">
        <v>1</v>
      </c>
      <c r="AI136" t="s">
        <v>195</v>
      </c>
      <c r="AJ136">
        <v>35.776484000000004</v>
      </c>
      <c r="AK136" t="s">
        <v>196</v>
      </c>
      <c r="AL136">
        <v>-84.008954000000003</v>
      </c>
      <c r="AM136">
        <v>25</v>
      </c>
      <c r="AN136">
        <v>1700</v>
      </c>
      <c r="AO136" t="s">
        <v>118</v>
      </c>
      <c r="AP136">
        <v>97</v>
      </c>
      <c r="AQ136">
        <v>-99</v>
      </c>
      <c r="AR136">
        <v>896</v>
      </c>
      <c r="AZ136">
        <v>300</v>
      </c>
      <c r="BA136">
        <v>1</v>
      </c>
      <c r="BB136" t="str">
        <f t="shared" si="5"/>
        <v xml:space="preserve">N162AM  </v>
      </c>
      <c r="BC136">
        <v>1</v>
      </c>
      <c r="BE136">
        <v>0</v>
      </c>
      <c r="BF136">
        <v>0</v>
      </c>
      <c r="BG136">
        <v>0</v>
      </c>
      <c r="BH136">
        <v>1950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>"14:43:04.403"</f>
        <v>14:43:04.403</v>
      </c>
      <c r="CJ136">
        <v>2</v>
      </c>
      <c r="CK136">
        <v>2</v>
      </c>
      <c r="CL136">
        <v>0</v>
      </c>
      <c r="CM136">
        <v>2</v>
      </c>
      <c r="CN136">
        <v>0</v>
      </c>
      <c r="CO136">
        <v>3</v>
      </c>
      <c r="CP136" t="s">
        <v>119</v>
      </c>
      <c r="CQ136">
        <v>232</v>
      </c>
      <c r="CR136">
        <v>1</v>
      </c>
      <c r="CW136">
        <v>14859336</v>
      </c>
      <c r="CY136">
        <v>1</v>
      </c>
      <c r="CZ136">
        <v>0</v>
      </c>
      <c r="DA136">
        <v>0</v>
      </c>
      <c r="DB136">
        <v>0</v>
      </c>
      <c r="DC136">
        <v>0</v>
      </c>
      <c r="DD136">
        <v>1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"12/16/2021 14:43:04.604"</f>
        <v>12/16/2021 14:43:04.604</v>
      </c>
      <c r="C137" t="str">
        <f t="shared" si="4"/>
        <v>FFDFD3C0</v>
      </c>
      <c r="D137" t="s">
        <v>124</v>
      </c>
      <c r="E137">
        <v>5</v>
      </c>
      <c r="F137">
        <v>1005</v>
      </c>
      <c r="G137" t="s">
        <v>114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"14:43:04.398"</f>
        <v>14:43:04.398</v>
      </c>
      <c r="T137" t="str">
        <f>"14:43:03.998"</f>
        <v>14:43:03.998</v>
      </c>
      <c r="U137" t="str">
        <f t="shared" si="6"/>
        <v>A0F928</v>
      </c>
      <c r="V137">
        <v>0</v>
      </c>
      <c r="W137">
        <v>0</v>
      </c>
      <c r="X137">
        <v>2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3</v>
      </c>
      <c r="AG137">
        <v>2</v>
      </c>
      <c r="AH137">
        <v>1</v>
      </c>
      <c r="AI137" t="s">
        <v>195</v>
      </c>
      <c r="AJ137">
        <v>35.776484000000004</v>
      </c>
      <c r="AK137" t="s">
        <v>196</v>
      </c>
      <c r="AL137">
        <v>-84.008954000000003</v>
      </c>
      <c r="AM137">
        <v>25</v>
      </c>
      <c r="AN137">
        <v>1700</v>
      </c>
      <c r="AO137" t="s">
        <v>118</v>
      </c>
      <c r="AP137">
        <v>97</v>
      </c>
      <c r="AQ137">
        <v>-99</v>
      </c>
      <c r="AR137">
        <v>896</v>
      </c>
      <c r="AZ137">
        <v>300</v>
      </c>
      <c r="BA137">
        <v>1</v>
      </c>
      <c r="BB137" t="str">
        <f t="shared" si="5"/>
        <v xml:space="preserve">N162AM  </v>
      </c>
      <c r="BC137">
        <v>1</v>
      </c>
      <c r="BE137">
        <v>0</v>
      </c>
      <c r="BF137">
        <v>0</v>
      </c>
      <c r="BG137">
        <v>0</v>
      </c>
      <c r="BH137">
        <v>1950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>"14:43:04.403"</f>
        <v>14:43:04.403</v>
      </c>
      <c r="CJ137">
        <v>3</v>
      </c>
      <c r="CK137">
        <v>2</v>
      </c>
      <c r="CL137">
        <v>0</v>
      </c>
      <c r="CM137">
        <v>2</v>
      </c>
      <c r="CN137">
        <v>0</v>
      </c>
      <c r="CO137">
        <v>3</v>
      </c>
      <c r="CP137" t="s">
        <v>119</v>
      </c>
      <c r="CQ137">
        <v>232</v>
      </c>
      <c r="CR137">
        <v>1</v>
      </c>
      <c r="CW137">
        <v>14859336</v>
      </c>
      <c r="CY137">
        <v>1</v>
      </c>
      <c r="CZ137">
        <v>0</v>
      </c>
      <c r="DA137">
        <v>1</v>
      </c>
      <c r="DB137">
        <v>0</v>
      </c>
      <c r="DC137">
        <v>0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"12/16/2021 14:43:04.608"</f>
        <v>12/16/2021 14:43:04.608</v>
      </c>
      <c r="C138" t="str">
        <f t="shared" si="4"/>
        <v>FFDFD3C0</v>
      </c>
      <c r="D138" t="s">
        <v>113</v>
      </c>
      <c r="E138">
        <v>8</v>
      </c>
      <c r="H138">
        <v>176</v>
      </c>
      <c r="I138" t="s">
        <v>114</v>
      </c>
      <c r="J138" t="s">
        <v>115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"14:43:04.398"</f>
        <v>14:43:04.398</v>
      </c>
      <c r="T138" t="str">
        <f>"14:43:03.998"</f>
        <v>14:43:03.998</v>
      </c>
      <c r="U138" t="str">
        <f t="shared" si="6"/>
        <v>A0F928</v>
      </c>
      <c r="V138">
        <v>0</v>
      </c>
      <c r="W138">
        <v>0</v>
      </c>
      <c r="X138">
        <v>2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3</v>
      </c>
      <c r="AG138">
        <v>2</v>
      </c>
      <c r="AH138">
        <v>1</v>
      </c>
      <c r="AI138" t="s">
        <v>195</v>
      </c>
      <c r="AJ138">
        <v>35.776484000000004</v>
      </c>
      <c r="AK138" t="s">
        <v>196</v>
      </c>
      <c r="AL138">
        <v>-84.008954000000003</v>
      </c>
      <c r="AM138">
        <v>25</v>
      </c>
      <c r="AN138">
        <v>1700</v>
      </c>
      <c r="AO138" t="s">
        <v>118</v>
      </c>
      <c r="AP138">
        <v>97</v>
      </c>
      <c r="AQ138">
        <v>-99</v>
      </c>
      <c r="AR138">
        <v>896</v>
      </c>
      <c r="AZ138">
        <v>300</v>
      </c>
      <c r="BA138">
        <v>1</v>
      </c>
      <c r="BB138" t="str">
        <f t="shared" si="5"/>
        <v xml:space="preserve">N162AM  </v>
      </c>
      <c r="BC138">
        <v>1</v>
      </c>
      <c r="BE138">
        <v>0</v>
      </c>
      <c r="BF138">
        <v>0</v>
      </c>
      <c r="BG138">
        <v>0</v>
      </c>
      <c r="BH138">
        <v>1950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>"14:43:04.403"</f>
        <v>14:43:04.403</v>
      </c>
      <c r="CJ138">
        <v>3</v>
      </c>
      <c r="CK138">
        <v>2</v>
      </c>
      <c r="CL138">
        <v>0</v>
      </c>
      <c r="CM138">
        <v>2</v>
      </c>
      <c r="CN138">
        <v>0</v>
      </c>
      <c r="CO138">
        <v>3</v>
      </c>
      <c r="CP138" t="s">
        <v>119</v>
      </c>
      <c r="CQ138">
        <v>232</v>
      </c>
      <c r="CR138">
        <v>1</v>
      </c>
      <c r="CW138">
        <v>14859336</v>
      </c>
      <c r="CY138">
        <v>1</v>
      </c>
      <c r="CZ138">
        <v>0</v>
      </c>
      <c r="DA138">
        <v>1</v>
      </c>
      <c r="DB138">
        <v>0</v>
      </c>
      <c r="DC138">
        <v>0</v>
      </c>
      <c r="DD138">
        <v>1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"12/16/2021 14:43:04.614"</f>
        <v>12/16/2021 14:43:04.614</v>
      </c>
      <c r="C139" t="str">
        <f t="shared" si="4"/>
        <v>FFDFD3C0</v>
      </c>
      <c r="D139" t="s">
        <v>133</v>
      </c>
      <c r="E139">
        <v>44</v>
      </c>
      <c r="H139">
        <v>131</v>
      </c>
      <c r="I139" t="s">
        <v>134</v>
      </c>
      <c r="J139" t="s">
        <v>135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"14:43:04.398"</f>
        <v>14:43:04.398</v>
      </c>
      <c r="T139" t="str">
        <f>"14:43:03.998"</f>
        <v>14:43:03.998</v>
      </c>
      <c r="U139" t="str">
        <f t="shared" si="6"/>
        <v>A0F928</v>
      </c>
      <c r="V139">
        <v>0</v>
      </c>
      <c r="W139">
        <v>0</v>
      </c>
      <c r="X139">
        <v>2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3</v>
      </c>
      <c r="AG139">
        <v>2</v>
      </c>
      <c r="AH139">
        <v>1</v>
      </c>
      <c r="AI139" t="s">
        <v>195</v>
      </c>
      <c r="AJ139">
        <v>35.776484000000004</v>
      </c>
      <c r="AK139" t="s">
        <v>196</v>
      </c>
      <c r="AL139">
        <v>-84.008954000000003</v>
      </c>
      <c r="AM139">
        <v>25</v>
      </c>
      <c r="AN139">
        <v>1700</v>
      </c>
      <c r="AO139" t="s">
        <v>118</v>
      </c>
      <c r="AP139">
        <v>97</v>
      </c>
      <c r="AQ139">
        <v>-99</v>
      </c>
      <c r="AR139">
        <v>896</v>
      </c>
      <c r="AZ139">
        <v>300</v>
      </c>
      <c r="BA139">
        <v>1</v>
      </c>
      <c r="BB139" t="str">
        <f t="shared" si="5"/>
        <v xml:space="preserve">N162AM  </v>
      </c>
      <c r="BC139">
        <v>1</v>
      </c>
      <c r="BE139">
        <v>0</v>
      </c>
      <c r="BF139">
        <v>0</v>
      </c>
      <c r="BG139">
        <v>0</v>
      </c>
      <c r="BH139">
        <v>1950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>"14:43:04.403"</f>
        <v>14:43:04.403</v>
      </c>
      <c r="CJ139">
        <v>3</v>
      </c>
      <c r="CK139">
        <v>2</v>
      </c>
      <c r="CL139">
        <v>0</v>
      </c>
      <c r="CM139">
        <v>2</v>
      </c>
      <c r="CN139">
        <v>0</v>
      </c>
      <c r="CO139">
        <v>3</v>
      </c>
      <c r="CP139" t="s">
        <v>119</v>
      </c>
      <c r="CQ139">
        <v>232</v>
      </c>
      <c r="CR139">
        <v>1</v>
      </c>
      <c r="CW139">
        <v>14859336</v>
      </c>
      <c r="CY139">
        <v>1</v>
      </c>
      <c r="CZ139">
        <v>0</v>
      </c>
      <c r="DA139">
        <v>1</v>
      </c>
      <c r="DB139">
        <v>0</v>
      </c>
      <c r="DC139">
        <v>0</v>
      </c>
      <c r="DD139">
        <v>1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"12/16/2021 14:43:05.661"</f>
        <v>12/16/2021 14:43:05.661</v>
      </c>
      <c r="C140" t="str">
        <f t="shared" ref="C140:C203" si="7">"FFDFD3C0"</f>
        <v>FFDFD3C0</v>
      </c>
      <c r="D140" t="s">
        <v>133</v>
      </c>
      <c r="E140">
        <v>44</v>
      </c>
      <c r="H140">
        <v>131</v>
      </c>
      <c r="I140" t="s">
        <v>134</v>
      </c>
      <c r="J140" t="s">
        <v>135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"14:43:05.438"</f>
        <v>14:43:05.438</v>
      </c>
      <c r="T140" t="str">
        <f>"14:43:05.038"</f>
        <v>14:43:05.038</v>
      </c>
      <c r="U140" t="str">
        <f t="shared" si="6"/>
        <v>A0F928</v>
      </c>
      <c r="V140">
        <v>0</v>
      </c>
      <c r="W140">
        <v>0</v>
      </c>
      <c r="X140">
        <v>2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3</v>
      </c>
      <c r="AG140">
        <v>2</v>
      </c>
      <c r="AH140">
        <v>1</v>
      </c>
      <c r="AI140" t="s">
        <v>197</v>
      </c>
      <c r="AJ140">
        <v>35.776012000000001</v>
      </c>
      <c r="AK140" t="s">
        <v>198</v>
      </c>
      <c r="AL140">
        <v>-84.008396000000005</v>
      </c>
      <c r="AM140">
        <v>25</v>
      </c>
      <c r="AN140">
        <v>1700</v>
      </c>
      <c r="AO140" t="s">
        <v>118</v>
      </c>
      <c r="AP140">
        <v>101</v>
      </c>
      <c r="AQ140">
        <v>-94</v>
      </c>
      <c r="AR140">
        <v>704</v>
      </c>
      <c r="AZ140">
        <v>300</v>
      </c>
      <c r="BA140">
        <v>1</v>
      </c>
      <c r="BB140" t="str">
        <f t="shared" ref="BB140:BB203" si="8">"N162AM  "</f>
        <v xml:space="preserve">N162AM  </v>
      </c>
      <c r="BC140">
        <v>1</v>
      </c>
      <c r="BE140">
        <v>0</v>
      </c>
      <c r="BF140">
        <v>0</v>
      </c>
      <c r="BG140">
        <v>0</v>
      </c>
      <c r="BH140">
        <v>1975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>"14:43:05.440"</f>
        <v>14:43:05.440</v>
      </c>
      <c r="CJ140">
        <v>3</v>
      </c>
      <c r="CK140">
        <v>2</v>
      </c>
      <c r="CL140">
        <v>0</v>
      </c>
      <c r="CM140">
        <v>2</v>
      </c>
      <c r="CN140">
        <v>0</v>
      </c>
      <c r="CO140">
        <v>5</v>
      </c>
      <c r="CP140" t="s">
        <v>119</v>
      </c>
      <c r="CQ140">
        <v>232</v>
      </c>
      <c r="CR140">
        <v>1</v>
      </c>
      <c r="CW140">
        <v>14860989</v>
      </c>
      <c r="CY140">
        <v>1</v>
      </c>
      <c r="CZ140">
        <v>0</v>
      </c>
      <c r="DA140">
        <v>0</v>
      </c>
      <c r="DB140">
        <v>0</v>
      </c>
      <c r="DC140">
        <v>0</v>
      </c>
      <c r="DD140">
        <v>1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"12/16/2021 14:43:05.661"</f>
        <v>12/16/2021 14:43:05.661</v>
      </c>
      <c r="C141" t="str">
        <f t="shared" si="7"/>
        <v>FFDFD3C0</v>
      </c>
      <c r="D141" t="s">
        <v>124</v>
      </c>
      <c r="E141">
        <v>10</v>
      </c>
      <c r="F141">
        <v>1010</v>
      </c>
      <c r="G141" t="s">
        <v>130</v>
      </c>
      <c r="J141" t="s">
        <v>125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"14:43:05.438"</f>
        <v>14:43:05.438</v>
      </c>
      <c r="T141" t="str">
        <f>"14:43:05.038"</f>
        <v>14:43:05.038</v>
      </c>
      <c r="U141" t="str">
        <f t="shared" si="6"/>
        <v>A0F928</v>
      </c>
      <c r="V141">
        <v>0</v>
      </c>
      <c r="W141">
        <v>0</v>
      </c>
      <c r="X141">
        <v>2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0</v>
      </c>
      <c r="AG141">
        <v>2</v>
      </c>
      <c r="AH141">
        <v>1</v>
      </c>
      <c r="AI141" t="s">
        <v>197</v>
      </c>
      <c r="AJ141">
        <v>35.776012000000001</v>
      </c>
      <c r="AK141" t="s">
        <v>198</v>
      </c>
      <c r="AL141">
        <v>-84.008396000000005</v>
      </c>
      <c r="AM141">
        <v>25</v>
      </c>
      <c r="AN141">
        <v>1700</v>
      </c>
      <c r="AO141" t="s">
        <v>118</v>
      </c>
      <c r="AP141">
        <v>101</v>
      </c>
      <c r="AQ141">
        <v>-94</v>
      </c>
      <c r="AR141">
        <v>704</v>
      </c>
      <c r="AZ141">
        <v>300</v>
      </c>
      <c r="BA141">
        <v>1</v>
      </c>
      <c r="BB141" t="str">
        <f t="shared" si="8"/>
        <v xml:space="preserve">N162AM  </v>
      </c>
      <c r="BC141">
        <v>1</v>
      </c>
      <c r="BE141">
        <v>0</v>
      </c>
      <c r="BF141">
        <v>0</v>
      </c>
      <c r="BG141">
        <v>0</v>
      </c>
      <c r="BH141">
        <v>1975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>"14:43:05.440"</f>
        <v>14:43:05.440</v>
      </c>
      <c r="CJ141">
        <v>2</v>
      </c>
      <c r="CK141">
        <v>2</v>
      </c>
      <c r="CL141">
        <v>0</v>
      </c>
      <c r="CM141">
        <v>2</v>
      </c>
      <c r="CN141">
        <v>0</v>
      </c>
      <c r="CO141">
        <v>5</v>
      </c>
      <c r="CP141" t="s">
        <v>119</v>
      </c>
      <c r="CQ141">
        <v>232</v>
      </c>
      <c r="CR141">
        <v>1</v>
      </c>
      <c r="CW141">
        <v>14860989</v>
      </c>
      <c r="CY141">
        <v>1</v>
      </c>
      <c r="CZ141">
        <v>0</v>
      </c>
      <c r="DA141">
        <v>1</v>
      </c>
      <c r="DB141">
        <v>0</v>
      </c>
      <c r="DC141">
        <v>0</v>
      </c>
      <c r="DD141">
        <v>1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"12/16/2021 14:43:05.661"</f>
        <v>12/16/2021 14:43:05.661</v>
      </c>
      <c r="C142" t="str">
        <f t="shared" si="7"/>
        <v>FFDFD3C0</v>
      </c>
      <c r="D142" t="s">
        <v>124</v>
      </c>
      <c r="E142">
        <v>5</v>
      </c>
      <c r="F142">
        <v>1005</v>
      </c>
      <c r="G142" t="s">
        <v>114</v>
      </c>
      <c r="J142" t="s">
        <v>125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"14:43:05.438"</f>
        <v>14:43:05.438</v>
      </c>
      <c r="T142" t="str">
        <f>"14:43:05.038"</f>
        <v>14:43:05.038</v>
      </c>
      <c r="U142" t="str">
        <f t="shared" si="6"/>
        <v>A0F928</v>
      </c>
      <c r="V142">
        <v>0</v>
      </c>
      <c r="W142">
        <v>0</v>
      </c>
      <c r="X142">
        <v>2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3</v>
      </c>
      <c r="AG142">
        <v>2</v>
      </c>
      <c r="AH142">
        <v>1</v>
      </c>
      <c r="AI142" t="s">
        <v>197</v>
      </c>
      <c r="AJ142">
        <v>35.776012000000001</v>
      </c>
      <c r="AK142" t="s">
        <v>198</v>
      </c>
      <c r="AL142">
        <v>-84.008396000000005</v>
      </c>
      <c r="AM142">
        <v>25</v>
      </c>
      <c r="AN142">
        <v>1700</v>
      </c>
      <c r="AO142" t="s">
        <v>118</v>
      </c>
      <c r="AP142">
        <v>101</v>
      </c>
      <c r="AQ142">
        <v>-94</v>
      </c>
      <c r="AR142">
        <v>704</v>
      </c>
      <c r="AZ142">
        <v>300</v>
      </c>
      <c r="BA142">
        <v>1</v>
      </c>
      <c r="BB142" t="str">
        <f t="shared" si="8"/>
        <v xml:space="preserve">N162AM  </v>
      </c>
      <c r="BC142">
        <v>1</v>
      </c>
      <c r="BE142">
        <v>0</v>
      </c>
      <c r="BF142">
        <v>0</v>
      </c>
      <c r="BG142">
        <v>0</v>
      </c>
      <c r="BH142">
        <v>1975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>"14:43:05.440"</f>
        <v>14:43:05.440</v>
      </c>
      <c r="CJ142">
        <v>3</v>
      </c>
      <c r="CK142">
        <v>2</v>
      </c>
      <c r="CL142">
        <v>0</v>
      </c>
      <c r="CM142">
        <v>2</v>
      </c>
      <c r="CN142">
        <v>0</v>
      </c>
      <c r="CO142">
        <v>5</v>
      </c>
      <c r="CP142" t="s">
        <v>119</v>
      </c>
      <c r="CQ142">
        <v>232</v>
      </c>
      <c r="CR142">
        <v>1</v>
      </c>
      <c r="CW142">
        <v>14860989</v>
      </c>
      <c r="CY142">
        <v>1</v>
      </c>
      <c r="CZ142">
        <v>0</v>
      </c>
      <c r="DA142">
        <v>1</v>
      </c>
      <c r="DB142">
        <v>0</v>
      </c>
      <c r="DC142">
        <v>0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"12/16/2021 14:43:05.724"</f>
        <v>12/16/2021 14:43:05.724</v>
      </c>
      <c r="C143" t="str">
        <f t="shared" si="7"/>
        <v>FFDFD3C0</v>
      </c>
      <c r="D143" t="s">
        <v>113</v>
      </c>
      <c r="E143">
        <v>8</v>
      </c>
      <c r="H143">
        <v>176</v>
      </c>
      <c r="I143" t="s">
        <v>114</v>
      </c>
      <c r="J143" t="s">
        <v>115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"14:43:05.438"</f>
        <v>14:43:05.438</v>
      </c>
      <c r="T143" t="str">
        <f>"14:43:05.038"</f>
        <v>14:43:05.038</v>
      </c>
      <c r="U143" t="str">
        <f t="shared" si="6"/>
        <v>A0F928</v>
      </c>
      <c r="V143">
        <v>0</v>
      </c>
      <c r="W143">
        <v>0</v>
      </c>
      <c r="X143">
        <v>2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3</v>
      </c>
      <c r="AG143">
        <v>2</v>
      </c>
      <c r="AH143">
        <v>1</v>
      </c>
      <c r="AI143" t="s">
        <v>197</v>
      </c>
      <c r="AJ143">
        <v>35.776012000000001</v>
      </c>
      <c r="AK143" t="s">
        <v>198</v>
      </c>
      <c r="AL143">
        <v>-84.008396000000005</v>
      </c>
      <c r="AM143">
        <v>25</v>
      </c>
      <c r="AN143">
        <v>1700</v>
      </c>
      <c r="AO143" t="s">
        <v>118</v>
      </c>
      <c r="AP143">
        <v>101</v>
      </c>
      <c r="AQ143">
        <v>-94</v>
      </c>
      <c r="AR143">
        <v>704</v>
      </c>
      <c r="AZ143">
        <v>300</v>
      </c>
      <c r="BA143">
        <v>1</v>
      </c>
      <c r="BB143" t="str">
        <f t="shared" si="8"/>
        <v xml:space="preserve">N162AM  </v>
      </c>
      <c r="BC143">
        <v>1</v>
      </c>
      <c r="BE143">
        <v>0</v>
      </c>
      <c r="BF143">
        <v>0</v>
      </c>
      <c r="BG143">
        <v>0</v>
      </c>
      <c r="BH143">
        <v>1975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>"14:43:05.440"</f>
        <v>14:43:05.440</v>
      </c>
      <c r="CJ143">
        <v>3</v>
      </c>
      <c r="CK143">
        <v>2</v>
      </c>
      <c r="CL143">
        <v>0</v>
      </c>
      <c r="CM143">
        <v>2</v>
      </c>
      <c r="CN143">
        <v>0</v>
      </c>
      <c r="CO143">
        <v>5</v>
      </c>
      <c r="CP143" t="s">
        <v>119</v>
      </c>
      <c r="CQ143">
        <v>232</v>
      </c>
      <c r="CR143">
        <v>1</v>
      </c>
      <c r="CW143">
        <v>14860989</v>
      </c>
      <c r="CY143">
        <v>1</v>
      </c>
      <c r="CZ143">
        <v>0</v>
      </c>
      <c r="DA143">
        <v>1</v>
      </c>
      <c r="DB143">
        <v>0</v>
      </c>
      <c r="DC143">
        <v>0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"12/16/2021 14:43:06.552"</f>
        <v>12/16/2021 14:43:06.552</v>
      </c>
      <c r="C144" t="str">
        <f t="shared" si="7"/>
        <v>FFDFD3C0</v>
      </c>
      <c r="D144" t="s">
        <v>124</v>
      </c>
      <c r="E144">
        <v>5</v>
      </c>
      <c r="F144">
        <v>1005</v>
      </c>
      <c r="G144" t="s">
        <v>114</v>
      </c>
      <c r="J144" t="s">
        <v>125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"14:43:06.289"</f>
        <v>14:43:06.289</v>
      </c>
      <c r="T144" t="str">
        <f>"14:43:05.889"</f>
        <v>14:43:05.889</v>
      </c>
      <c r="U144" t="str">
        <f t="shared" si="6"/>
        <v>A0F928</v>
      </c>
      <c r="V144">
        <v>0</v>
      </c>
      <c r="W144">
        <v>0</v>
      </c>
      <c r="X144">
        <v>2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3</v>
      </c>
      <c r="AG144">
        <v>2</v>
      </c>
      <c r="AH144">
        <v>1</v>
      </c>
      <c r="AI144" t="s">
        <v>199</v>
      </c>
      <c r="AJ144">
        <v>35.775626000000003</v>
      </c>
      <c r="AK144" t="s">
        <v>200</v>
      </c>
      <c r="AL144">
        <v>-84.007838000000007</v>
      </c>
      <c r="AM144">
        <v>25</v>
      </c>
      <c r="AN144">
        <v>1700</v>
      </c>
      <c r="AO144" t="s">
        <v>118</v>
      </c>
      <c r="AP144">
        <v>104</v>
      </c>
      <c r="AQ144">
        <v>-89</v>
      </c>
      <c r="AR144">
        <v>576</v>
      </c>
      <c r="AZ144">
        <v>300</v>
      </c>
      <c r="BA144">
        <v>1</v>
      </c>
      <c r="BB144" t="str">
        <f t="shared" si="8"/>
        <v xml:space="preserve">N162AM  </v>
      </c>
      <c r="BC144">
        <v>1</v>
      </c>
      <c r="BE144">
        <v>0</v>
      </c>
      <c r="BF144">
        <v>0</v>
      </c>
      <c r="BG144">
        <v>0</v>
      </c>
      <c r="BH144">
        <v>2000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>"14:43:06.295"</f>
        <v>14:43:06.295</v>
      </c>
      <c r="CJ144">
        <v>3</v>
      </c>
      <c r="CK144">
        <v>2</v>
      </c>
      <c r="CL144">
        <v>0</v>
      </c>
      <c r="CM144">
        <v>2</v>
      </c>
      <c r="CN144">
        <v>0</v>
      </c>
      <c r="CO144">
        <v>3</v>
      </c>
      <c r="CP144" t="s">
        <v>119</v>
      </c>
      <c r="CQ144">
        <v>216</v>
      </c>
      <c r="CR144">
        <v>0</v>
      </c>
      <c r="CW144">
        <v>354151</v>
      </c>
      <c r="CY144">
        <v>1</v>
      </c>
      <c r="CZ144">
        <v>0</v>
      </c>
      <c r="DA144">
        <v>0</v>
      </c>
      <c r="DB144">
        <v>0</v>
      </c>
      <c r="DC144">
        <v>0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"12/16/2021 14:43:06.552"</f>
        <v>12/16/2021 14:43:06.552</v>
      </c>
      <c r="C145" t="str">
        <f t="shared" si="7"/>
        <v>FFDFD3C0</v>
      </c>
      <c r="D145" t="s">
        <v>113</v>
      </c>
      <c r="E145">
        <v>8</v>
      </c>
      <c r="H145">
        <v>176</v>
      </c>
      <c r="I145" t="s">
        <v>114</v>
      </c>
      <c r="J145" t="s">
        <v>115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"14:43:06.289"</f>
        <v>14:43:06.289</v>
      </c>
      <c r="T145" t="str">
        <f>"14:43:05.889"</f>
        <v>14:43:05.889</v>
      </c>
      <c r="U145" t="str">
        <f t="shared" si="6"/>
        <v>A0F928</v>
      </c>
      <c r="V145">
        <v>0</v>
      </c>
      <c r="W145">
        <v>0</v>
      </c>
      <c r="X145">
        <v>2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3</v>
      </c>
      <c r="AG145">
        <v>2</v>
      </c>
      <c r="AH145">
        <v>1</v>
      </c>
      <c r="AI145" t="s">
        <v>199</v>
      </c>
      <c r="AJ145">
        <v>35.775626000000003</v>
      </c>
      <c r="AK145" t="s">
        <v>200</v>
      </c>
      <c r="AL145">
        <v>-84.007838000000007</v>
      </c>
      <c r="AM145">
        <v>25</v>
      </c>
      <c r="AN145">
        <v>1700</v>
      </c>
      <c r="AO145" t="s">
        <v>118</v>
      </c>
      <c r="AP145">
        <v>104</v>
      </c>
      <c r="AQ145">
        <v>-89</v>
      </c>
      <c r="AR145">
        <v>576</v>
      </c>
      <c r="AZ145">
        <v>300</v>
      </c>
      <c r="BA145">
        <v>1</v>
      </c>
      <c r="BB145" t="str">
        <f t="shared" si="8"/>
        <v xml:space="preserve">N162AM  </v>
      </c>
      <c r="BC145">
        <v>1</v>
      </c>
      <c r="BE145">
        <v>0</v>
      </c>
      <c r="BF145">
        <v>0</v>
      </c>
      <c r="BG145">
        <v>0</v>
      </c>
      <c r="BH145">
        <v>2000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>"14:43:06.295"</f>
        <v>14:43:06.295</v>
      </c>
      <c r="CJ145">
        <v>3</v>
      </c>
      <c r="CK145">
        <v>2</v>
      </c>
      <c r="CL145">
        <v>0</v>
      </c>
      <c r="CM145">
        <v>2</v>
      </c>
      <c r="CN145">
        <v>0</v>
      </c>
      <c r="CO145">
        <v>3</v>
      </c>
      <c r="CP145" t="s">
        <v>119</v>
      </c>
      <c r="CQ145">
        <v>216</v>
      </c>
      <c r="CR145">
        <v>0</v>
      </c>
      <c r="CW145">
        <v>354151</v>
      </c>
      <c r="CY145">
        <v>1</v>
      </c>
      <c r="CZ145">
        <v>0</v>
      </c>
      <c r="DA145">
        <v>1</v>
      </c>
      <c r="DB145">
        <v>0</v>
      </c>
      <c r="DC145">
        <v>0</v>
      </c>
      <c r="DD145">
        <v>1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"12/16/2021 14:43:06.552"</f>
        <v>12/16/2021 14:43:06.552</v>
      </c>
      <c r="C146" t="str">
        <f t="shared" si="7"/>
        <v>FFDFD3C0</v>
      </c>
      <c r="D146" t="s">
        <v>133</v>
      </c>
      <c r="E146">
        <v>44</v>
      </c>
      <c r="H146">
        <v>131</v>
      </c>
      <c r="I146" t="s">
        <v>134</v>
      </c>
      <c r="J146" t="s">
        <v>135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"14:43:06.289"</f>
        <v>14:43:06.289</v>
      </c>
      <c r="T146" t="str">
        <f>"14:43:05.889"</f>
        <v>14:43:05.889</v>
      </c>
      <c r="U146" t="str">
        <f t="shared" si="6"/>
        <v>A0F928</v>
      </c>
      <c r="V146">
        <v>0</v>
      </c>
      <c r="W146">
        <v>0</v>
      </c>
      <c r="X146">
        <v>2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3</v>
      </c>
      <c r="AG146">
        <v>2</v>
      </c>
      <c r="AH146">
        <v>1</v>
      </c>
      <c r="AI146" t="s">
        <v>199</v>
      </c>
      <c r="AJ146">
        <v>35.775626000000003</v>
      </c>
      <c r="AK146" t="s">
        <v>200</v>
      </c>
      <c r="AL146">
        <v>-84.007838000000007</v>
      </c>
      <c r="AM146">
        <v>25</v>
      </c>
      <c r="AN146">
        <v>1700</v>
      </c>
      <c r="AO146" t="s">
        <v>118</v>
      </c>
      <c r="AP146">
        <v>104</v>
      </c>
      <c r="AQ146">
        <v>-89</v>
      </c>
      <c r="AR146">
        <v>576</v>
      </c>
      <c r="AZ146">
        <v>300</v>
      </c>
      <c r="BA146">
        <v>1</v>
      </c>
      <c r="BB146" t="str">
        <f t="shared" si="8"/>
        <v xml:space="preserve">N162AM  </v>
      </c>
      <c r="BC146">
        <v>1</v>
      </c>
      <c r="BE146">
        <v>0</v>
      </c>
      <c r="BF146">
        <v>0</v>
      </c>
      <c r="BG146">
        <v>0</v>
      </c>
      <c r="BH146">
        <v>2000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>"14:43:06.295"</f>
        <v>14:43:06.295</v>
      </c>
      <c r="CJ146">
        <v>3</v>
      </c>
      <c r="CK146">
        <v>2</v>
      </c>
      <c r="CL146">
        <v>0</v>
      </c>
      <c r="CM146">
        <v>2</v>
      </c>
      <c r="CN146">
        <v>0</v>
      </c>
      <c r="CO146">
        <v>3</v>
      </c>
      <c r="CP146" t="s">
        <v>119</v>
      </c>
      <c r="CQ146">
        <v>216</v>
      </c>
      <c r="CR146">
        <v>0</v>
      </c>
      <c r="CW146">
        <v>354151</v>
      </c>
      <c r="CY146">
        <v>1</v>
      </c>
      <c r="CZ146">
        <v>0</v>
      </c>
      <c r="DA146">
        <v>1</v>
      </c>
      <c r="DB146">
        <v>0</v>
      </c>
      <c r="DC146">
        <v>0</v>
      </c>
      <c r="DD146">
        <v>1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"12/16/2021 14:43:06.552"</f>
        <v>12/16/2021 14:43:06.552</v>
      </c>
      <c r="C147" t="str">
        <f t="shared" si="7"/>
        <v>FFDFD3C0</v>
      </c>
      <c r="D147" t="s">
        <v>124</v>
      </c>
      <c r="E147">
        <v>10</v>
      </c>
      <c r="F147">
        <v>1010</v>
      </c>
      <c r="G147" t="s">
        <v>130</v>
      </c>
      <c r="J147" t="s">
        <v>125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"14:43:06.289"</f>
        <v>14:43:06.289</v>
      </c>
      <c r="T147" t="str">
        <f>"14:43:05.889"</f>
        <v>14:43:05.889</v>
      </c>
      <c r="U147" t="str">
        <f t="shared" si="6"/>
        <v>A0F928</v>
      </c>
      <c r="V147">
        <v>0</v>
      </c>
      <c r="W147">
        <v>0</v>
      </c>
      <c r="X147">
        <v>2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0</v>
      </c>
      <c r="AG147">
        <v>2</v>
      </c>
      <c r="AH147">
        <v>1</v>
      </c>
      <c r="AI147" t="s">
        <v>199</v>
      </c>
      <c r="AJ147">
        <v>35.775626000000003</v>
      </c>
      <c r="AK147" t="s">
        <v>200</v>
      </c>
      <c r="AL147">
        <v>-84.007838000000007</v>
      </c>
      <c r="AM147">
        <v>25</v>
      </c>
      <c r="AN147">
        <v>1700</v>
      </c>
      <c r="AO147" t="s">
        <v>118</v>
      </c>
      <c r="AP147">
        <v>104</v>
      </c>
      <c r="AQ147">
        <v>-89</v>
      </c>
      <c r="AR147">
        <v>576</v>
      </c>
      <c r="AZ147">
        <v>300</v>
      </c>
      <c r="BA147">
        <v>1</v>
      </c>
      <c r="BB147" t="str">
        <f t="shared" si="8"/>
        <v xml:space="preserve">N162AM  </v>
      </c>
      <c r="BC147">
        <v>1</v>
      </c>
      <c r="BE147">
        <v>0</v>
      </c>
      <c r="BF147">
        <v>0</v>
      </c>
      <c r="BG147">
        <v>0</v>
      </c>
      <c r="BH147">
        <v>2000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>"14:43:06.295"</f>
        <v>14:43:06.295</v>
      </c>
      <c r="CJ147">
        <v>2</v>
      </c>
      <c r="CK147">
        <v>2</v>
      </c>
      <c r="CL147">
        <v>0</v>
      </c>
      <c r="CM147">
        <v>2</v>
      </c>
      <c r="CN147">
        <v>0</v>
      </c>
      <c r="CO147">
        <v>3</v>
      </c>
      <c r="CP147" t="s">
        <v>119</v>
      </c>
      <c r="CQ147">
        <v>216</v>
      </c>
      <c r="CR147">
        <v>0</v>
      </c>
      <c r="CW147">
        <v>354151</v>
      </c>
      <c r="CY147">
        <v>1</v>
      </c>
      <c r="CZ147">
        <v>0</v>
      </c>
      <c r="DA147">
        <v>1</v>
      </c>
      <c r="DB147">
        <v>0</v>
      </c>
      <c r="DC147">
        <v>0</v>
      </c>
      <c r="DD147">
        <v>1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"12/16/2021 14:43:07.552"</f>
        <v>12/16/2021 14:43:07.552</v>
      </c>
      <c r="C148" t="str">
        <f t="shared" si="7"/>
        <v>FFDFD3C0</v>
      </c>
      <c r="D148" t="s">
        <v>124</v>
      </c>
      <c r="E148">
        <v>5</v>
      </c>
      <c r="F148">
        <v>1005</v>
      </c>
      <c r="G148" t="s">
        <v>114</v>
      </c>
      <c r="J148" t="s">
        <v>125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"14:43:07.328"</f>
        <v>14:43:07.328</v>
      </c>
      <c r="T148" t="str">
        <f>"14:43:06.828"</f>
        <v>14:43:06.828</v>
      </c>
      <c r="U148" t="str">
        <f t="shared" si="6"/>
        <v>A0F928</v>
      </c>
      <c r="V148">
        <v>0</v>
      </c>
      <c r="W148">
        <v>0</v>
      </c>
      <c r="X148">
        <v>2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3</v>
      </c>
      <c r="AG148">
        <v>2</v>
      </c>
      <c r="AH148">
        <v>1</v>
      </c>
      <c r="AI148" t="s">
        <v>201</v>
      </c>
      <c r="AJ148">
        <v>35.775261</v>
      </c>
      <c r="AK148" t="s">
        <v>202</v>
      </c>
      <c r="AL148">
        <v>-84.007257999999993</v>
      </c>
      <c r="AM148">
        <v>25</v>
      </c>
      <c r="AN148">
        <v>1725</v>
      </c>
      <c r="AO148" t="s">
        <v>118</v>
      </c>
      <c r="AP148">
        <v>107</v>
      </c>
      <c r="AQ148">
        <v>-85</v>
      </c>
      <c r="AR148">
        <v>512</v>
      </c>
      <c r="AZ148">
        <v>300</v>
      </c>
      <c r="BA148">
        <v>1</v>
      </c>
      <c r="BB148" t="str">
        <f t="shared" si="8"/>
        <v xml:space="preserve">N162AM  </v>
      </c>
      <c r="BC148">
        <v>1</v>
      </c>
      <c r="BE148">
        <v>0</v>
      </c>
      <c r="BF148">
        <v>0</v>
      </c>
      <c r="BG148">
        <v>0</v>
      </c>
      <c r="BH148">
        <v>1975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>"14:43:07.335"</f>
        <v>14:43:07.335</v>
      </c>
      <c r="CJ148">
        <v>3</v>
      </c>
      <c r="CK148">
        <v>2</v>
      </c>
      <c r="CL148">
        <v>0</v>
      </c>
      <c r="CM148">
        <v>2</v>
      </c>
      <c r="CN148">
        <v>0</v>
      </c>
      <c r="CO148">
        <v>4</v>
      </c>
      <c r="CP148" t="s">
        <v>119</v>
      </c>
      <c r="CQ148">
        <v>232</v>
      </c>
      <c r="CR148">
        <v>1</v>
      </c>
      <c r="CW148">
        <v>14864030</v>
      </c>
      <c r="CY148">
        <v>1</v>
      </c>
      <c r="CZ148">
        <v>0</v>
      </c>
      <c r="DA148">
        <v>0</v>
      </c>
      <c r="DB148">
        <v>0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"12/16/2021 14:43:07.552"</f>
        <v>12/16/2021 14:43:07.552</v>
      </c>
      <c r="C149" t="str">
        <f t="shared" si="7"/>
        <v>FFDFD3C0</v>
      </c>
      <c r="D149" t="s">
        <v>113</v>
      </c>
      <c r="E149">
        <v>8</v>
      </c>
      <c r="H149">
        <v>176</v>
      </c>
      <c r="I149" t="s">
        <v>114</v>
      </c>
      <c r="J149" t="s">
        <v>115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"14:43:07.328"</f>
        <v>14:43:07.328</v>
      </c>
      <c r="T149" t="str">
        <f>"14:43:06.828"</f>
        <v>14:43:06.828</v>
      </c>
      <c r="U149" t="str">
        <f t="shared" si="6"/>
        <v>A0F928</v>
      </c>
      <c r="V149">
        <v>0</v>
      </c>
      <c r="W149">
        <v>0</v>
      </c>
      <c r="X149">
        <v>2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3</v>
      </c>
      <c r="AG149">
        <v>2</v>
      </c>
      <c r="AH149">
        <v>1</v>
      </c>
      <c r="AI149" t="s">
        <v>201</v>
      </c>
      <c r="AJ149">
        <v>35.775261</v>
      </c>
      <c r="AK149" t="s">
        <v>202</v>
      </c>
      <c r="AL149">
        <v>-84.007257999999993</v>
      </c>
      <c r="AM149">
        <v>25</v>
      </c>
      <c r="AN149">
        <v>1725</v>
      </c>
      <c r="AO149" t="s">
        <v>118</v>
      </c>
      <c r="AP149">
        <v>107</v>
      </c>
      <c r="AQ149">
        <v>-85</v>
      </c>
      <c r="AR149">
        <v>512</v>
      </c>
      <c r="AZ149">
        <v>300</v>
      </c>
      <c r="BA149">
        <v>1</v>
      </c>
      <c r="BB149" t="str">
        <f t="shared" si="8"/>
        <v xml:space="preserve">N162AM  </v>
      </c>
      <c r="BC149">
        <v>1</v>
      </c>
      <c r="BE149">
        <v>0</v>
      </c>
      <c r="BF149">
        <v>0</v>
      </c>
      <c r="BG149">
        <v>0</v>
      </c>
      <c r="BH149">
        <v>1975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>"14:43:07.335"</f>
        <v>14:43:07.335</v>
      </c>
      <c r="CJ149">
        <v>3</v>
      </c>
      <c r="CK149">
        <v>2</v>
      </c>
      <c r="CL149">
        <v>0</v>
      </c>
      <c r="CM149">
        <v>2</v>
      </c>
      <c r="CN149">
        <v>0</v>
      </c>
      <c r="CO149">
        <v>4</v>
      </c>
      <c r="CP149" t="s">
        <v>119</v>
      </c>
      <c r="CQ149">
        <v>232</v>
      </c>
      <c r="CR149">
        <v>1</v>
      </c>
      <c r="CW149">
        <v>14864030</v>
      </c>
      <c r="CY149">
        <v>1</v>
      </c>
      <c r="CZ149">
        <v>0</v>
      </c>
      <c r="DA149">
        <v>1</v>
      </c>
      <c r="DB149">
        <v>0</v>
      </c>
      <c r="DC149">
        <v>0</v>
      </c>
      <c r="DD149">
        <v>1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"12/16/2021 14:43:07.552"</f>
        <v>12/16/2021 14:43:07.552</v>
      </c>
      <c r="C150" t="str">
        <f t="shared" si="7"/>
        <v>FFDFD3C0</v>
      </c>
      <c r="D150" t="s">
        <v>133</v>
      </c>
      <c r="E150">
        <v>44</v>
      </c>
      <c r="H150">
        <v>131</v>
      </c>
      <c r="I150" t="s">
        <v>134</v>
      </c>
      <c r="J150" t="s">
        <v>135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"14:43:07.328"</f>
        <v>14:43:07.328</v>
      </c>
      <c r="T150" t="str">
        <f>"14:43:06.828"</f>
        <v>14:43:06.828</v>
      </c>
      <c r="U150" t="str">
        <f t="shared" si="6"/>
        <v>A0F928</v>
      </c>
      <c r="V150">
        <v>0</v>
      </c>
      <c r="W150">
        <v>0</v>
      </c>
      <c r="X150">
        <v>2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3</v>
      </c>
      <c r="AG150">
        <v>2</v>
      </c>
      <c r="AH150">
        <v>1</v>
      </c>
      <c r="AI150" t="s">
        <v>201</v>
      </c>
      <c r="AJ150">
        <v>35.775261</v>
      </c>
      <c r="AK150" t="s">
        <v>202</v>
      </c>
      <c r="AL150">
        <v>-84.007257999999993</v>
      </c>
      <c r="AM150">
        <v>25</v>
      </c>
      <c r="AN150">
        <v>1725</v>
      </c>
      <c r="AO150" t="s">
        <v>118</v>
      </c>
      <c r="AP150">
        <v>107</v>
      </c>
      <c r="AQ150">
        <v>-85</v>
      </c>
      <c r="AR150">
        <v>512</v>
      </c>
      <c r="AZ150">
        <v>300</v>
      </c>
      <c r="BA150">
        <v>1</v>
      </c>
      <c r="BB150" t="str">
        <f t="shared" si="8"/>
        <v xml:space="preserve">N162AM  </v>
      </c>
      <c r="BC150">
        <v>1</v>
      </c>
      <c r="BE150">
        <v>0</v>
      </c>
      <c r="BF150">
        <v>0</v>
      </c>
      <c r="BG150">
        <v>0</v>
      </c>
      <c r="BH150">
        <v>1975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>"14:43:07.335"</f>
        <v>14:43:07.335</v>
      </c>
      <c r="CJ150">
        <v>3</v>
      </c>
      <c r="CK150">
        <v>2</v>
      </c>
      <c r="CL150">
        <v>0</v>
      </c>
      <c r="CM150">
        <v>2</v>
      </c>
      <c r="CN150">
        <v>0</v>
      </c>
      <c r="CO150">
        <v>4</v>
      </c>
      <c r="CP150" t="s">
        <v>119</v>
      </c>
      <c r="CQ150">
        <v>232</v>
      </c>
      <c r="CR150">
        <v>1</v>
      </c>
      <c r="CW150">
        <v>14864030</v>
      </c>
      <c r="CY150">
        <v>1</v>
      </c>
      <c r="CZ150">
        <v>0</v>
      </c>
      <c r="DA150">
        <v>1</v>
      </c>
      <c r="DB150">
        <v>0</v>
      </c>
      <c r="DC150">
        <v>0</v>
      </c>
      <c r="DD150">
        <v>1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"12/16/2021 14:43:07.567"</f>
        <v>12/16/2021 14:43:07.567</v>
      </c>
      <c r="C151" t="str">
        <f t="shared" si="7"/>
        <v>FFDFD3C0</v>
      </c>
      <c r="D151" t="s">
        <v>124</v>
      </c>
      <c r="E151">
        <v>10</v>
      </c>
      <c r="F151">
        <v>1010</v>
      </c>
      <c r="G151" t="s">
        <v>130</v>
      </c>
      <c r="J151" t="s">
        <v>125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"14:43:07.328"</f>
        <v>14:43:07.328</v>
      </c>
      <c r="T151" t="str">
        <f>"14:43:06.828"</f>
        <v>14:43:06.828</v>
      </c>
      <c r="U151" t="str">
        <f t="shared" si="6"/>
        <v>A0F928</v>
      </c>
      <c r="V151">
        <v>0</v>
      </c>
      <c r="W151">
        <v>0</v>
      </c>
      <c r="X151">
        <v>2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3</v>
      </c>
      <c r="AG151">
        <v>2</v>
      </c>
      <c r="AH151">
        <v>1</v>
      </c>
      <c r="AI151" t="s">
        <v>201</v>
      </c>
      <c r="AJ151">
        <v>35.775261</v>
      </c>
      <c r="AK151" t="s">
        <v>202</v>
      </c>
      <c r="AL151">
        <v>-84.007257999999993</v>
      </c>
      <c r="AM151">
        <v>25</v>
      </c>
      <c r="AN151">
        <v>1725</v>
      </c>
      <c r="AO151" t="s">
        <v>118</v>
      </c>
      <c r="AP151">
        <v>107</v>
      </c>
      <c r="AQ151">
        <v>-85</v>
      </c>
      <c r="AR151">
        <v>512</v>
      </c>
      <c r="AZ151">
        <v>300</v>
      </c>
      <c r="BA151">
        <v>1</v>
      </c>
      <c r="BB151" t="str">
        <f t="shared" si="8"/>
        <v xml:space="preserve">N162AM  </v>
      </c>
      <c r="BC151">
        <v>1</v>
      </c>
      <c r="BE151">
        <v>0</v>
      </c>
      <c r="BF151">
        <v>0</v>
      </c>
      <c r="BG151">
        <v>0</v>
      </c>
      <c r="BH151">
        <v>1975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>"14:43:07.335"</f>
        <v>14:43:07.335</v>
      </c>
      <c r="CJ151">
        <v>3</v>
      </c>
      <c r="CK151">
        <v>2</v>
      </c>
      <c r="CL151">
        <v>0</v>
      </c>
      <c r="CM151">
        <v>2</v>
      </c>
      <c r="CN151">
        <v>0</v>
      </c>
      <c r="CO151">
        <v>4</v>
      </c>
      <c r="CP151" t="s">
        <v>119</v>
      </c>
      <c r="CQ151">
        <v>232</v>
      </c>
      <c r="CR151">
        <v>1</v>
      </c>
      <c r="CW151">
        <v>14864030</v>
      </c>
      <c r="CY151">
        <v>1</v>
      </c>
      <c r="CZ151">
        <v>0</v>
      </c>
      <c r="DA151">
        <v>1</v>
      </c>
      <c r="DB151">
        <v>0</v>
      </c>
      <c r="DC151">
        <v>0</v>
      </c>
      <c r="DD151">
        <v>1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"12/16/2021 14:43:09.070"</f>
        <v>12/16/2021 14:43:09.070</v>
      </c>
      <c r="C152" t="str">
        <f t="shared" si="7"/>
        <v>FFDFD3C0</v>
      </c>
      <c r="D152" t="s">
        <v>133</v>
      </c>
      <c r="E152">
        <v>44</v>
      </c>
      <c r="H152">
        <v>131</v>
      </c>
      <c r="I152" t="s">
        <v>134</v>
      </c>
      <c r="J152" t="s">
        <v>135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"14:43:08.867"</f>
        <v>14:43:08.867</v>
      </c>
      <c r="T152" t="str">
        <f>"14:43:08.367"</f>
        <v>14:43:08.367</v>
      </c>
      <c r="U152" t="str">
        <f t="shared" si="6"/>
        <v>A0F928</v>
      </c>
      <c r="V152">
        <v>0</v>
      </c>
      <c r="W152">
        <v>0</v>
      </c>
      <c r="X152">
        <v>2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3</v>
      </c>
      <c r="AG152">
        <v>2</v>
      </c>
      <c r="AH152">
        <v>1</v>
      </c>
      <c r="AI152" t="s">
        <v>203</v>
      </c>
      <c r="AJ152">
        <v>35.774703000000002</v>
      </c>
      <c r="AK152" t="s">
        <v>204</v>
      </c>
      <c r="AL152">
        <v>-84.006207000000003</v>
      </c>
      <c r="AM152">
        <v>25</v>
      </c>
      <c r="AN152">
        <v>1725</v>
      </c>
      <c r="AO152" t="s">
        <v>118</v>
      </c>
      <c r="AP152">
        <v>112</v>
      </c>
      <c r="AQ152">
        <v>-76</v>
      </c>
      <c r="AR152">
        <v>448</v>
      </c>
      <c r="AZ152">
        <v>300</v>
      </c>
      <c r="BA152">
        <v>1</v>
      </c>
      <c r="BB152" t="str">
        <f t="shared" si="8"/>
        <v xml:space="preserve">N162AM  </v>
      </c>
      <c r="BC152">
        <v>1</v>
      </c>
      <c r="BE152">
        <v>0</v>
      </c>
      <c r="BF152">
        <v>0</v>
      </c>
      <c r="BG152">
        <v>0</v>
      </c>
      <c r="BH152">
        <v>2000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>"14:43:08.872"</f>
        <v>14:43:08.872</v>
      </c>
      <c r="CJ152">
        <v>3</v>
      </c>
      <c r="CK152">
        <v>2</v>
      </c>
      <c r="CL152">
        <v>0</v>
      </c>
      <c r="CM152">
        <v>2</v>
      </c>
      <c r="CN152">
        <v>0</v>
      </c>
      <c r="CO152">
        <v>3</v>
      </c>
      <c r="CP152" t="s">
        <v>119</v>
      </c>
      <c r="CQ152">
        <v>232</v>
      </c>
      <c r="CR152">
        <v>2</v>
      </c>
      <c r="CW152">
        <v>6066238</v>
      </c>
      <c r="CY152">
        <v>1</v>
      </c>
      <c r="CZ152">
        <v>0</v>
      </c>
      <c r="DA152">
        <v>0</v>
      </c>
      <c r="DB152">
        <v>0</v>
      </c>
      <c r="DC152">
        <v>0</v>
      </c>
      <c r="DD152">
        <v>1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"12/16/2021 14:43:09.070"</f>
        <v>12/16/2021 14:43:09.070</v>
      </c>
      <c r="C153" t="str">
        <f t="shared" si="7"/>
        <v>FFDFD3C0</v>
      </c>
      <c r="D153" t="s">
        <v>124</v>
      </c>
      <c r="E153">
        <v>10</v>
      </c>
      <c r="F153">
        <v>1010</v>
      </c>
      <c r="G153" t="s">
        <v>130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"14:43:08.867"</f>
        <v>14:43:08.867</v>
      </c>
      <c r="T153" t="str">
        <f>"14:43:08.367"</f>
        <v>14:43:08.367</v>
      </c>
      <c r="U153" t="str">
        <f t="shared" si="6"/>
        <v>A0F928</v>
      </c>
      <c r="V153">
        <v>0</v>
      </c>
      <c r="W153">
        <v>0</v>
      </c>
      <c r="X153">
        <v>2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3</v>
      </c>
      <c r="AG153">
        <v>2</v>
      </c>
      <c r="AH153">
        <v>1</v>
      </c>
      <c r="AI153" t="s">
        <v>203</v>
      </c>
      <c r="AJ153">
        <v>35.774703000000002</v>
      </c>
      <c r="AK153" t="s">
        <v>204</v>
      </c>
      <c r="AL153">
        <v>-84.006207000000003</v>
      </c>
      <c r="AM153">
        <v>25</v>
      </c>
      <c r="AN153">
        <v>1725</v>
      </c>
      <c r="AO153" t="s">
        <v>118</v>
      </c>
      <c r="AP153">
        <v>112</v>
      </c>
      <c r="AQ153">
        <v>-76</v>
      </c>
      <c r="AR153">
        <v>448</v>
      </c>
      <c r="AZ153">
        <v>300</v>
      </c>
      <c r="BA153">
        <v>1</v>
      </c>
      <c r="BB153" t="str">
        <f t="shared" si="8"/>
        <v xml:space="preserve">N162AM  </v>
      </c>
      <c r="BC153">
        <v>1</v>
      </c>
      <c r="BE153">
        <v>0</v>
      </c>
      <c r="BF153">
        <v>0</v>
      </c>
      <c r="BG153">
        <v>0</v>
      </c>
      <c r="BH153">
        <v>2000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>"14:43:08.872"</f>
        <v>14:43:08.872</v>
      </c>
      <c r="CJ153">
        <v>3</v>
      </c>
      <c r="CK153">
        <v>2</v>
      </c>
      <c r="CL153">
        <v>0</v>
      </c>
      <c r="CM153">
        <v>2</v>
      </c>
      <c r="CN153">
        <v>0</v>
      </c>
      <c r="CO153">
        <v>3</v>
      </c>
      <c r="CP153" t="s">
        <v>119</v>
      </c>
      <c r="CQ153">
        <v>232</v>
      </c>
      <c r="CR153">
        <v>2</v>
      </c>
      <c r="CW153">
        <v>6066238</v>
      </c>
      <c r="CY153">
        <v>1</v>
      </c>
      <c r="CZ153">
        <v>0</v>
      </c>
      <c r="DA153">
        <v>1</v>
      </c>
      <c r="DB153">
        <v>0</v>
      </c>
      <c r="DC153">
        <v>0</v>
      </c>
      <c r="DD153">
        <v>1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"12/16/2021 14:43:09.085"</f>
        <v>12/16/2021 14:43:09.085</v>
      </c>
      <c r="C154" t="str">
        <f t="shared" si="7"/>
        <v>FFDFD3C0</v>
      </c>
      <c r="D154" t="s">
        <v>124</v>
      </c>
      <c r="E154">
        <v>5</v>
      </c>
      <c r="F154">
        <v>1005</v>
      </c>
      <c r="G154" t="s">
        <v>114</v>
      </c>
      <c r="J154" t="s">
        <v>125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"14:43:08.867"</f>
        <v>14:43:08.867</v>
      </c>
      <c r="T154" t="str">
        <f>"14:43:08.367"</f>
        <v>14:43:08.367</v>
      </c>
      <c r="U154" t="str">
        <f t="shared" si="6"/>
        <v>A0F928</v>
      </c>
      <c r="V154">
        <v>0</v>
      </c>
      <c r="W154">
        <v>0</v>
      </c>
      <c r="X154">
        <v>2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3</v>
      </c>
      <c r="AG154">
        <v>2</v>
      </c>
      <c r="AH154">
        <v>1</v>
      </c>
      <c r="AI154" t="s">
        <v>203</v>
      </c>
      <c r="AJ154">
        <v>35.774703000000002</v>
      </c>
      <c r="AK154" t="s">
        <v>204</v>
      </c>
      <c r="AL154">
        <v>-84.006207000000003</v>
      </c>
      <c r="AM154">
        <v>25</v>
      </c>
      <c r="AN154">
        <v>1725</v>
      </c>
      <c r="AO154" t="s">
        <v>118</v>
      </c>
      <c r="AP154">
        <v>112</v>
      </c>
      <c r="AQ154">
        <v>-76</v>
      </c>
      <c r="AR154">
        <v>448</v>
      </c>
      <c r="AZ154">
        <v>300</v>
      </c>
      <c r="BA154">
        <v>1</v>
      </c>
      <c r="BB154" t="str">
        <f t="shared" si="8"/>
        <v xml:space="preserve">N162AM  </v>
      </c>
      <c r="BC154">
        <v>1</v>
      </c>
      <c r="BE154">
        <v>0</v>
      </c>
      <c r="BF154">
        <v>0</v>
      </c>
      <c r="BG154">
        <v>0</v>
      </c>
      <c r="BH154">
        <v>2000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>"14:43:08.872"</f>
        <v>14:43:08.872</v>
      </c>
      <c r="CJ154">
        <v>3</v>
      </c>
      <c r="CK154">
        <v>2</v>
      </c>
      <c r="CL154">
        <v>0</v>
      </c>
      <c r="CM154">
        <v>2</v>
      </c>
      <c r="CN154">
        <v>0</v>
      </c>
      <c r="CO154">
        <v>3</v>
      </c>
      <c r="CP154" t="s">
        <v>119</v>
      </c>
      <c r="CQ154">
        <v>232</v>
      </c>
      <c r="CR154">
        <v>2</v>
      </c>
      <c r="CW154">
        <v>6066238</v>
      </c>
      <c r="CY154">
        <v>1</v>
      </c>
      <c r="CZ154">
        <v>0</v>
      </c>
      <c r="DA154">
        <v>1</v>
      </c>
      <c r="DB154">
        <v>0</v>
      </c>
      <c r="DC154">
        <v>0</v>
      </c>
      <c r="DD154">
        <v>1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"12/16/2021 14:43:09.132"</f>
        <v>12/16/2021 14:43:09.132</v>
      </c>
      <c r="C155" t="str">
        <f t="shared" si="7"/>
        <v>FFDFD3C0</v>
      </c>
      <c r="D155" t="s">
        <v>113</v>
      </c>
      <c r="E155">
        <v>8</v>
      </c>
      <c r="H155">
        <v>176</v>
      </c>
      <c r="I155" t="s">
        <v>114</v>
      </c>
      <c r="J155" t="s">
        <v>115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"14:43:08.867"</f>
        <v>14:43:08.867</v>
      </c>
      <c r="T155" t="str">
        <f>"14:43:08.367"</f>
        <v>14:43:08.367</v>
      </c>
      <c r="U155" t="str">
        <f t="shared" si="6"/>
        <v>A0F928</v>
      </c>
      <c r="V155">
        <v>0</v>
      </c>
      <c r="W155">
        <v>0</v>
      </c>
      <c r="X155">
        <v>2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3</v>
      </c>
      <c r="AG155">
        <v>2</v>
      </c>
      <c r="AH155">
        <v>1</v>
      </c>
      <c r="AI155" t="s">
        <v>203</v>
      </c>
      <c r="AJ155">
        <v>35.774703000000002</v>
      </c>
      <c r="AK155" t="s">
        <v>204</v>
      </c>
      <c r="AL155">
        <v>-84.006207000000003</v>
      </c>
      <c r="AM155">
        <v>25</v>
      </c>
      <c r="AN155">
        <v>1725</v>
      </c>
      <c r="AO155" t="s">
        <v>118</v>
      </c>
      <c r="AP155">
        <v>112</v>
      </c>
      <c r="AQ155">
        <v>-76</v>
      </c>
      <c r="AR155">
        <v>448</v>
      </c>
      <c r="AZ155">
        <v>300</v>
      </c>
      <c r="BA155">
        <v>1</v>
      </c>
      <c r="BB155" t="str">
        <f t="shared" si="8"/>
        <v xml:space="preserve">N162AM  </v>
      </c>
      <c r="BC155">
        <v>1</v>
      </c>
      <c r="BE155">
        <v>0</v>
      </c>
      <c r="BF155">
        <v>0</v>
      </c>
      <c r="BG155">
        <v>0</v>
      </c>
      <c r="BH155">
        <v>2000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>"14:43:08.872"</f>
        <v>14:43:08.872</v>
      </c>
      <c r="CJ155">
        <v>3</v>
      </c>
      <c r="CK155">
        <v>2</v>
      </c>
      <c r="CL155">
        <v>0</v>
      </c>
      <c r="CM155">
        <v>2</v>
      </c>
      <c r="CN155">
        <v>0</v>
      </c>
      <c r="CO155">
        <v>3</v>
      </c>
      <c r="CP155" t="s">
        <v>119</v>
      </c>
      <c r="CQ155">
        <v>232</v>
      </c>
      <c r="CR155">
        <v>2</v>
      </c>
      <c r="CW155">
        <v>6066238</v>
      </c>
      <c r="CY155">
        <v>1</v>
      </c>
      <c r="CZ155">
        <v>0</v>
      </c>
      <c r="DA155">
        <v>1</v>
      </c>
      <c r="DB155">
        <v>0</v>
      </c>
      <c r="DC155">
        <v>0</v>
      </c>
      <c r="DD155">
        <v>1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"12/16/2021 14:43:10.192"</f>
        <v>12/16/2021 14:43:10.192</v>
      </c>
      <c r="C156" t="str">
        <f t="shared" si="7"/>
        <v>FFDFD3C0</v>
      </c>
      <c r="D156" t="s">
        <v>124</v>
      </c>
      <c r="E156">
        <v>5</v>
      </c>
      <c r="F156">
        <v>1005</v>
      </c>
      <c r="G156" t="s">
        <v>114</v>
      </c>
      <c r="J156" t="s">
        <v>125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"14:43:09.945"</f>
        <v>14:43:09.945</v>
      </c>
      <c r="T156" t="str">
        <f>"14:43:09.545"</f>
        <v>14:43:09.545</v>
      </c>
      <c r="U156" t="str">
        <f t="shared" si="6"/>
        <v>A0F928</v>
      </c>
      <c r="V156">
        <v>0</v>
      </c>
      <c r="W156">
        <v>0</v>
      </c>
      <c r="X156">
        <v>2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3</v>
      </c>
      <c r="AG156">
        <v>2</v>
      </c>
      <c r="AH156">
        <v>1</v>
      </c>
      <c r="AI156" t="s">
        <v>205</v>
      </c>
      <c r="AJ156">
        <v>35.774360000000001</v>
      </c>
      <c r="AK156" t="s">
        <v>123</v>
      </c>
      <c r="AL156">
        <v>-84.005476999999999</v>
      </c>
      <c r="AM156">
        <v>25</v>
      </c>
      <c r="AN156">
        <v>1725</v>
      </c>
      <c r="AO156" t="s">
        <v>118</v>
      </c>
      <c r="AP156">
        <v>115</v>
      </c>
      <c r="AQ156">
        <v>-69</v>
      </c>
      <c r="AR156">
        <v>384</v>
      </c>
      <c r="AZ156">
        <v>300</v>
      </c>
      <c r="BA156">
        <v>1</v>
      </c>
      <c r="BB156" t="str">
        <f t="shared" si="8"/>
        <v xml:space="preserve">N162AM  </v>
      </c>
      <c r="BC156">
        <v>1</v>
      </c>
      <c r="BE156">
        <v>0</v>
      </c>
      <c r="BF156">
        <v>0</v>
      </c>
      <c r="BG156">
        <v>0</v>
      </c>
      <c r="BH156">
        <v>2000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>"14:43:09.949"</f>
        <v>14:43:09.949</v>
      </c>
      <c r="CJ156">
        <v>3</v>
      </c>
      <c r="CK156">
        <v>2</v>
      </c>
      <c r="CL156">
        <v>0</v>
      </c>
      <c r="CM156">
        <v>2</v>
      </c>
      <c r="CN156">
        <v>0</v>
      </c>
      <c r="CO156">
        <v>4</v>
      </c>
      <c r="CP156" t="s">
        <v>119</v>
      </c>
      <c r="CQ156">
        <v>232</v>
      </c>
      <c r="CR156">
        <v>2</v>
      </c>
      <c r="CW156">
        <v>6067834</v>
      </c>
      <c r="CY156">
        <v>1</v>
      </c>
      <c r="CZ156">
        <v>0</v>
      </c>
      <c r="DA156">
        <v>0</v>
      </c>
      <c r="DB156">
        <v>0</v>
      </c>
      <c r="DC156">
        <v>0</v>
      </c>
      <c r="DD156">
        <v>1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"12/16/2021 14:43:10.192"</f>
        <v>12/16/2021 14:43:10.192</v>
      </c>
      <c r="C157" t="str">
        <f t="shared" si="7"/>
        <v>FFDFD3C0</v>
      </c>
      <c r="D157" t="s">
        <v>124</v>
      </c>
      <c r="E157">
        <v>10</v>
      </c>
      <c r="F157">
        <v>1010</v>
      </c>
      <c r="G157" t="s">
        <v>130</v>
      </c>
      <c r="J157" t="s">
        <v>125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"14:43:09.945"</f>
        <v>14:43:09.945</v>
      </c>
      <c r="T157" t="str">
        <f>"14:43:09.545"</f>
        <v>14:43:09.545</v>
      </c>
      <c r="U157" t="str">
        <f t="shared" si="6"/>
        <v>A0F928</v>
      </c>
      <c r="V157">
        <v>0</v>
      </c>
      <c r="W157">
        <v>0</v>
      </c>
      <c r="X157">
        <v>2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3</v>
      </c>
      <c r="AG157">
        <v>2</v>
      </c>
      <c r="AH157">
        <v>1</v>
      </c>
      <c r="AI157" t="s">
        <v>205</v>
      </c>
      <c r="AJ157">
        <v>35.774360000000001</v>
      </c>
      <c r="AK157" t="s">
        <v>123</v>
      </c>
      <c r="AL157">
        <v>-84.005476999999999</v>
      </c>
      <c r="AM157">
        <v>25</v>
      </c>
      <c r="AN157">
        <v>1725</v>
      </c>
      <c r="AO157" t="s">
        <v>118</v>
      </c>
      <c r="AP157">
        <v>115</v>
      </c>
      <c r="AQ157">
        <v>-69</v>
      </c>
      <c r="AR157">
        <v>384</v>
      </c>
      <c r="AZ157">
        <v>300</v>
      </c>
      <c r="BA157">
        <v>1</v>
      </c>
      <c r="BB157" t="str">
        <f t="shared" si="8"/>
        <v xml:space="preserve">N162AM  </v>
      </c>
      <c r="BC157">
        <v>1</v>
      </c>
      <c r="BE157">
        <v>0</v>
      </c>
      <c r="BF157">
        <v>0</v>
      </c>
      <c r="BG157">
        <v>0</v>
      </c>
      <c r="BH157">
        <v>2000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>"14:43:09.949"</f>
        <v>14:43:09.949</v>
      </c>
      <c r="CJ157">
        <v>3</v>
      </c>
      <c r="CK157">
        <v>2</v>
      </c>
      <c r="CL157">
        <v>0</v>
      </c>
      <c r="CM157">
        <v>2</v>
      </c>
      <c r="CN157">
        <v>0</v>
      </c>
      <c r="CO157">
        <v>4</v>
      </c>
      <c r="CP157" t="s">
        <v>119</v>
      </c>
      <c r="CQ157">
        <v>232</v>
      </c>
      <c r="CR157">
        <v>2</v>
      </c>
      <c r="CW157">
        <v>6067834</v>
      </c>
      <c r="CY157">
        <v>1</v>
      </c>
      <c r="CZ157">
        <v>0</v>
      </c>
      <c r="DA157">
        <v>1</v>
      </c>
      <c r="DB157">
        <v>0</v>
      </c>
      <c r="DC157">
        <v>0</v>
      </c>
      <c r="DD157">
        <v>1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"12/16/2021 14:43:10.224"</f>
        <v>12/16/2021 14:43:10.224</v>
      </c>
      <c r="C158" t="str">
        <f t="shared" si="7"/>
        <v>FFDFD3C0</v>
      </c>
      <c r="D158" t="s">
        <v>113</v>
      </c>
      <c r="E158">
        <v>8</v>
      </c>
      <c r="H158">
        <v>176</v>
      </c>
      <c r="I158" t="s">
        <v>114</v>
      </c>
      <c r="J158" t="s">
        <v>115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"14:43:09.945"</f>
        <v>14:43:09.945</v>
      </c>
      <c r="T158" t="str">
        <f>"14:43:09.545"</f>
        <v>14:43:09.545</v>
      </c>
      <c r="U158" t="str">
        <f t="shared" si="6"/>
        <v>A0F928</v>
      </c>
      <c r="V158">
        <v>0</v>
      </c>
      <c r="W158">
        <v>0</v>
      </c>
      <c r="X158">
        <v>2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3</v>
      </c>
      <c r="AG158">
        <v>2</v>
      </c>
      <c r="AH158">
        <v>1</v>
      </c>
      <c r="AI158" t="s">
        <v>205</v>
      </c>
      <c r="AJ158">
        <v>35.774360000000001</v>
      </c>
      <c r="AK158" t="s">
        <v>123</v>
      </c>
      <c r="AL158">
        <v>-84.005476999999999</v>
      </c>
      <c r="AM158">
        <v>25</v>
      </c>
      <c r="AN158">
        <v>1725</v>
      </c>
      <c r="AO158" t="s">
        <v>118</v>
      </c>
      <c r="AP158">
        <v>115</v>
      </c>
      <c r="AQ158">
        <v>-69</v>
      </c>
      <c r="AR158">
        <v>384</v>
      </c>
      <c r="AZ158">
        <v>300</v>
      </c>
      <c r="BA158">
        <v>1</v>
      </c>
      <c r="BB158" t="str">
        <f t="shared" si="8"/>
        <v xml:space="preserve">N162AM  </v>
      </c>
      <c r="BC158">
        <v>1</v>
      </c>
      <c r="BE158">
        <v>0</v>
      </c>
      <c r="BF158">
        <v>0</v>
      </c>
      <c r="BG158">
        <v>0</v>
      </c>
      <c r="BH158">
        <v>2000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>"14:43:09.949"</f>
        <v>14:43:09.949</v>
      </c>
      <c r="CJ158">
        <v>3</v>
      </c>
      <c r="CK158">
        <v>2</v>
      </c>
      <c r="CL158">
        <v>0</v>
      </c>
      <c r="CM158">
        <v>2</v>
      </c>
      <c r="CN158">
        <v>0</v>
      </c>
      <c r="CO158">
        <v>4</v>
      </c>
      <c r="CP158" t="s">
        <v>119</v>
      </c>
      <c r="CQ158">
        <v>232</v>
      </c>
      <c r="CR158">
        <v>2</v>
      </c>
      <c r="CW158">
        <v>6067834</v>
      </c>
      <c r="CY158">
        <v>1</v>
      </c>
      <c r="CZ158">
        <v>0</v>
      </c>
      <c r="DA158">
        <v>1</v>
      </c>
      <c r="DB158">
        <v>0</v>
      </c>
      <c r="DC158">
        <v>0</v>
      </c>
      <c r="DD158">
        <v>1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"12/16/2021 14:43:10.224"</f>
        <v>12/16/2021 14:43:10.224</v>
      </c>
      <c r="C159" t="str">
        <f t="shared" si="7"/>
        <v>FFDFD3C0</v>
      </c>
      <c r="D159" t="s">
        <v>133</v>
      </c>
      <c r="E159">
        <v>44</v>
      </c>
      <c r="H159">
        <v>131</v>
      </c>
      <c r="I159" t="s">
        <v>134</v>
      </c>
      <c r="J159" t="s">
        <v>135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"14:43:09.945"</f>
        <v>14:43:09.945</v>
      </c>
      <c r="T159" t="str">
        <f>"14:43:09.545"</f>
        <v>14:43:09.545</v>
      </c>
      <c r="U159" t="str">
        <f t="shared" si="6"/>
        <v>A0F928</v>
      </c>
      <c r="V159">
        <v>0</v>
      </c>
      <c r="W159">
        <v>0</v>
      </c>
      <c r="X159">
        <v>2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3</v>
      </c>
      <c r="AG159">
        <v>2</v>
      </c>
      <c r="AH159">
        <v>1</v>
      </c>
      <c r="AI159" t="s">
        <v>205</v>
      </c>
      <c r="AJ159">
        <v>35.774360000000001</v>
      </c>
      <c r="AK159" t="s">
        <v>123</v>
      </c>
      <c r="AL159">
        <v>-84.005476999999999</v>
      </c>
      <c r="AM159">
        <v>25</v>
      </c>
      <c r="AN159">
        <v>1725</v>
      </c>
      <c r="AO159" t="s">
        <v>118</v>
      </c>
      <c r="AP159">
        <v>115</v>
      </c>
      <c r="AQ159">
        <v>-69</v>
      </c>
      <c r="AR159">
        <v>384</v>
      </c>
      <c r="AZ159">
        <v>300</v>
      </c>
      <c r="BA159">
        <v>1</v>
      </c>
      <c r="BB159" t="str">
        <f t="shared" si="8"/>
        <v xml:space="preserve">N162AM  </v>
      </c>
      <c r="BC159">
        <v>1</v>
      </c>
      <c r="BE159">
        <v>0</v>
      </c>
      <c r="BF159">
        <v>0</v>
      </c>
      <c r="BG159">
        <v>0</v>
      </c>
      <c r="BH159">
        <v>2000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>"14:43:09.949"</f>
        <v>14:43:09.949</v>
      </c>
      <c r="CJ159">
        <v>3</v>
      </c>
      <c r="CK159">
        <v>2</v>
      </c>
      <c r="CL159">
        <v>0</v>
      </c>
      <c r="CM159">
        <v>2</v>
      </c>
      <c r="CN159">
        <v>0</v>
      </c>
      <c r="CO159">
        <v>4</v>
      </c>
      <c r="CP159" t="s">
        <v>119</v>
      </c>
      <c r="CQ159">
        <v>232</v>
      </c>
      <c r="CR159">
        <v>2</v>
      </c>
      <c r="CW159">
        <v>6067834</v>
      </c>
      <c r="CY159">
        <v>1</v>
      </c>
      <c r="CZ159">
        <v>0</v>
      </c>
      <c r="DA159">
        <v>1</v>
      </c>
      <c r="DB159">
        <v>0</v>
      </c>
      <c r="DC159">
        <v>0</v>
      </c>
      <c r="DD159">
        <v>1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"12/16/2021 14:43:11.114"</f>
        <v>12/16/2021 14:43:11.114</v>
      </c>
      <c r="C160" t="str">
        <f t="shared" si="7"/>
        <v>FFDFD3C0</v>
      </c>
      <c r="D160" t="s">
        <v>113</v>
      </c>
      <c r="E160">
        <v>8</v>
      </c>
      <c r="H160">
        <v>176</v>
      </c>
      <c r="I160" t="s">
        <v>114</v>
      </c>
      <c r="J160" t="s">
        <v>115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"14:43:10.906"</f>
        <v>14:43:10.906</v>
      </c>
      <c r="T160" t="str">
        <f>"14:43:10.506"</f>
        <v>14:43:10.506</v>
      </c>
      <c r="U160" t="str">
        <f t="shared" si="6"/>
        <v>A0F928</v>
      </c>
      <c r="V160">
        <v>0</v>
      </c>
      <c r="W160">
        <v>0</v>
      </c>
      <c r="X160">
        <v>2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3</v>
      </c>
      <c r="AG160">
        <v>2</v>
      </c>
      <c r="AH160">
        <v>1</v>
      </c>
      <c r="AI160" t="s">
        <v>206</v>
      </c>
      <c r="AJ160">
        <v>35.774081000000002</v>
      </c>
      <c r="AK160" t="s">
        <v>207</v>
      </c>
      <c r="AL160">
        <v>-84.004855000000006</v>
      </c>
      <c r="AM160">
        <v>25</v>
      </c>
      <c r="AN160">
        <v>1750</v>
      </c>
      <c r="AO160" t="s">
        <v>118</v>
      </c>
      <c r="AP160">
        <v>118</v>
      </c>
      <c r="AQ160">
        <v>-63</v>
      </c>
      <c r="AR160">
        <v>320</v>
      </c>
      <c r="AZ160">
        <v>300</v>
      </c>
      <c r="BA160">
        <v>1</v>
      </c>
      <c r="BB160" t="str">
        <f t="shared" si="8"/>
        <v xml:space="preserve">N162AM  </v>
      </c>
      <c r="BC160">
        <v>1</v>
      </c>
      <c r="BE160">
        <v>0</v>
      </c>
      <c r="BF160">
        <v>0</v>
      </c>
      <c r="BG160">
        <v>0</v>
      </c>
      <c r="BH160">
        <v>2000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>"14:43:10.910"</f>
        <v>14:43:10.910</v>
      </c>
      <c r="CJ160">
        <v>3</v>
      </c>
      <c r="CK160">
        <v>2</v>
      </c>
      <c r="CL160">
        <v>0</v>
      </c>
      <c r="CM160">
        <v>2</v>
      </c>
      <c r="CN160">
        <v>0</v>
      </c>
      <c r="CO160">
        <v>4</v>
      </c>
      <c r="CP160" t="s">
        <v>119</v>
      </c>
      <c r="CQ160">
        <v>232</v>
      </c>
      <c r="CR160">
        <v>1</v>
      </c>
      <c r="CW160">
        <v>14869675</v>
      </c>
      <c r="CY160">
        <v>1</v>
      </c>
      <c r="CZ160">
        <v>0</v>
      </c>
      <c r="DA160">
        <v>0</v>
      </c>
      <c r="DB160">
        <v>0</v>
      </c>
      <c r="DC160">
        <v>0</v>
      </c>
      <c r="DD160">
        <v>1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"12/16/2021 14:43:11.130"</f>
        <v>12/16/2021 14:43:11.130</v>
      </c>
      <c r="C161" t="str">
        <f t="shared" si="7"/>
        <v>FFDFD3C0</v>
      </c>
      <c r="D161" t="s">
        <v>133</v>
      </c>
      <c r="E161">
        <v>44</v>
      </c>
      <c r="H161">
        <v>131</v>
      </c>
      <c r="I161" t="s">
        <v>134</v>
      </c>
      <c r="J161" t="s">
        <v>135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"14:43:10.906"</f>
        <v>14:43:10.906</v>
      </c>
      <c r="T161" t="str">
        <f>"14:43:10.506"</f>
        <v>14:43:10.506</v>
      </c>
      <c r="U161" t="str">
        <f t="shared" si="6"/>
        <v>A0F928</v>
      </c>
      <c r="V161">
        <v>0</v>
      </c>
      <c r="W161">
        <v>0</v>
      </c>
      <c r="X161">
        <v>2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3</v>
      </c>
      <c r="AG161">
        <v>2</v>
      </c>
      <c r="AH161">
        <v>1</v>
      </c>
      <c r="AI161" t="s">
        <v>206</v>
      </c>
      <c r="AJ161">
        <v>35.774081000000002</v>
      </c>
      <c r="AK161" t="s">
        <v>207</v>
      </c>
      <c r="AL161">
        <v>-84.004855000000006</v>
      </c>
      <c r="AM161">
        <v>25</v>
      </c>
      <c r="AN161">
        <v>1750</v>
      </c>
      <c r="AO161" t="s">
        <v>118</v>
      </c>
      <c r="AP161">
        <v>118</v>
      </c>
      <c r="AQ161">
        <v>-63</v>
      </c>
      <c r="AR161">
        <v>320</v>
      </c>
      <c r="AZ161">
        <v>300</v>
      </c>
      <c r="BA161">
        <v>1</v>
      </c>
      <c r="BB161" t="str">
        <f t="shared" si="8"/>
        <v xml:space="preserve">N162AM  </v>
      </c>
      <c r="BC161">
        <v>1</v>
      </c>
      <c r="BE161">
        <v>0</v>
      </c>
      <c r="BF161">
        <v>0</v>
      </c>
      <c r="BG161">
        <v>0</v>
      </c>
      <c r="BH161">
        <v>2000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>"14:43:10.910"</f>
        <v>14:43:10.910</v>
      </c>
      <c r="CJ161">
        <v>3</v>
      </c>
      <c r="CK161">
        <v>2</v>
      </c>
      <c r="CL161">
        <v>0</v>
      </c>
      <c r="CM161">
        <v>2</v>
      </c>
      <c r="CN161">
        <v>0</v>
      </c>
      <c r="CO161">
        <v>4</v>
      </c>
      <c r="CP161" t="s">
        <v>119</v>
      </c>
      <c r="CQ161">
        <v>232</v>
      </c>
      <c r="CR161">
        <v>1</v>
      </c>
      <c r="CW161">
        <v>14869675</v>
      </c>
      <c r="CY161">
        <v>1</v>
      </c>
      <c r="CZ161">
        <v>0</v>
      </c>
      <c r="DA161">
        <v>1</v>
      </c>
      <c r="DB161">
        <v>0</v>
      </c>
      <c r="DC161">
        <v>0</v>
      </c>
      <c r="DD161">
        <v>1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"12/16/2021 14:43:11.130"</f>
        <v>12/16/2021 14:43:11.130</v>
      </c>
      <c r="C162" t="str">
        <f t="shared" si="7"/>
        <v>FFDFD3C0</v>
      </c>
      <c r="D162" t="s">
        <v>124</v>
      </c>
      <c r="E162">
        <v>5</v>
      </c>
      <c r="F162">
        <v>1005</v>
      </c>
      <c r="G162" t="s">
        <v>114</v>
      </c>
      <c r="J162" t="s">
        <v>125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"14:43:10.906"</f>
        <v>14:43:10.906</v>
      </c>
      <c r="T162" t="str">
        <f>"14:43:10.506"</f>
        <v>14:43:10.506</v>
      </c>
      <c r="U162" t="str">
        <f t="shared" si="6"/>
        <v>A0F928</v>
      </c>
      <c r="V162">
        <v>0</v>
      </c>
      <c r="W162">
        <v>0</v>
      </c>
      <c r="X162">
        <v>2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3</v>
      </c>
      <c r="AG162">
        <v>2</v>
      </c>
      <c r="AH162">
        <v>1</v>
      </c>
      <c r="AI162" t="s">
        <v>206</v>
      </c>
      <c r="AJ162">
        <v>35.774081000000002</v>
      </c>
      <c r="AK162" t="s">
        <v>207</v>
      </c>
      <c r="AL162">
        <v>-84.004855000000006</v>
      </c>
      <c r="AM162">
        <v>25</v>
      </c>
      <c r="AN162">
        <v>1750</v>
      </c>
      <c r="AO162" t="s">
        <v>118</v>
      </c>
      <c r="AP162">
        <v>118</v>
      </c>
      <c r="AQ162">
        <v>-63</v>
      </c>
      <c r="AR162">
        <v>320</v>
      </c>
      <c r="AZ162">
        <v>300</v>
      </c>
      <c r="BA162">
        <v>1</v>
      </c>
      <c r="BB162" t="str">
        <f t="shared" si="8"/>
        <v xml:space="preserve">N162AM  </v>
      </c>
      <c r="BC162">
        <v>1</v>
      </c>
      <c r="BE162">
        <v>0</v>
      </c>
      <c r="BF162">
        <v>0</v>
      </c>
      <c r="BG162">
        <v>0</v>
      </c>
      <c r="BH162">
        <v>2000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>"14:43:10.910"</f>
        <v>14:43:10.910</v>
      </c>
      <c r="CJ162">
        <v>3</v>
      </c>
      <c r="CK162">
        <v>2</v>
      </c>
      <c r="CL162">
        <v>0</v>
      </c>
      <c r="CM162">
        <v>2</v>
      </c>
      <c r="CN162">
        <v>0</v>
      </c>
      <c r="CO162">
        <v>4</v>
      </c>
      <c r="CP162" t="s">
        <v>119</v>
      </c>
      <c r="CQ162">
        <v>232</v>
      </c>
      <c r="CR162">
        <v>1</v>
      </c>
      <c r="CW162">
        <v>14869675</v>
      </c>
      <c r="CY162">
        <v>1</v>
      </c>
      <c r="CZ162">
        <v>0</v>
      </c>
      <c r="DA162">
        <v>1</v>
      </c>
      <c r="DB162">
        <v>0</v>
      </c>
      <c r="DC162">
        <v>0</v>
      </c>
      <c r="DD162">
        <v>1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"12/16/2021 14:43:11.130"</f>
        <v>12/16/2021 14:43:11.130</v>
      </c>
      <c r="C163" t="str">
        <f t="shared" si="7"/>
        <v>FFDFD3C0</v>
      </c>
      <c r="D163" t="s">
        <v>124</v>
      </c>
      <c r="E163">
        <v>10</v>
      </c>
      <c r="F163">
        <v>1010</v>
      </c>
      <c r="G163" t="s">
        <v>130</v>
      </c>
      <c r="J163" t="s">
        <v>125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"14:43:10.906"</f>
        <v>14:43:10.906</v>
      </c>
      <c r="T163" t="str">
        <f>"14:43:10.506"</f>
        <v>14:43:10.506</v>
      </c>
      <c r="U163" t="str">
        <f t="shared" si="6"/>
        <v>A0F928</v>
      </c>
      <c r="V163">
        <v>0</v>
      </c>
      <c r="W163">
        <v>0</v>
      </c>
      <c r="X163">
        <v>2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3</v>
      </c>
      <c r="AG163">
        <v>2</v>
      </c>
      <c r="AH163">
        <v>1</v>
      </c>
      <c r="AI163" t="s">
        <v>206</v>
      </c>
      <c r="AJ163">
        <v>35.774081000000002</v>
      </c>
      <c r="AK163" t="s">
        <v>207</v>
      </c>
      <c r="AL163">
        <v>-84.004855000000006</v>
      </c>
      <c r="AM163">
        <v>25</v>
      </c>
      <c r="AN163">
        <v>1750</v>
      </c>
      <c r="AO163" t="s">
        <v>118</v>
      </c>
      <c r="AP163">
        <v>118</v>
      </c>
      <c r="AQ163">
        <v>-63</v>
      </c>
      <c r="AR163">
        <v>320</v>
      </c>
      <c r="AZ163">
        <v>300</v>
      </c>
      <c r="BA163">
        <v>1</v>
      </c>
      <c r="BB163" t="str">
        <f t="shared" si="8"/>
        <v xml:space="preserve">N162AM  </v>
      </c>
      <c r="BC163">
        <v>1</v>
      </c>
      <c r="BE163">
        <v>0</v>
      </c>
      <c r="BF163">
        <v>0</v>
      </c>
      <c r="BG163">
        <v>0</v>
      </c>
      <c r="BH163">
        <v>2000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>"14:43:10.910"</f>
        <v>14:43:10.910</v>
      </c>
      <c r="CJ163">
        <v>3</v>
      </c>
      <c r="CK163">
        <v>2</v>
      </c>
      <c r="CL163">
        <v>0</v>
      </c>
      <c r="CM163">
        <v>2</v>
      </c>
      <c r="CN163">
        <v>0</v>
      </c>
      <c r="CO163">
        <v>4</v>
      </c>
      <c r="CP163" t="s">
        <v>119</v>
      </c>
      <c r="CQ163">
        <v>232</v>
      </c>
      <c r="CR163">
        <v>1</v>
      </c>
      <c r="CW163">
        <v>14869675</v>
      </c>
      <c r="CY163">
        <v>1</v>
      </c>
      <c r="CZ163">
        <v>0</v>
      </c>
      <c r="DA163">
        <v>1</v>
      </c>
      <c r="DB163">
        <v>0</v>
      </c>
      <c r="DC163">
        <v>0</v>
      </c>
      <c r="DD163">
        <v>1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"12/16/2021 14:43:12.036"</f>
        <v>12/16/2021 14:43:12.036</v>
      </c>
      <c r="C164" t="str">
        <f t="shared" si="7"/>
        <v>FFDFD3C0</v>
      </c>
      <c r="D164" t="s">
        <v>124</v>
      </c>
      <c r="E164">
        <v>10</v>
      </c>
      <c r="F164">
        <v>1010</v>
      </c>
      <c r="G164" t="s">
        <v>130</v>
      </c>
      <c r="J164" t="s">
        <v>125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"14:43:11.828"</f>
        <v>14:43:11.828</v>
      </c>
      <c r="T164" t="str">
        <f>"14:43:11.428"</f>
        <v>14:43:11.428</v>
      </c>
      <c r="U164" t="str">
        <f t="shared" si="6"/>
        <v>A0F928</v>
      </c>
      <c r="V164">
        <v>0</v>
      </c>
      <c r="W164">
        <v>0</v>
      </c>
      <c r="X164">
        <v>2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3</v>
      </c>
      <c r="AG164">
        <v>2</v>
      </c>
      <c r="AH164">
        <v>1</v>
      </c>
      <c r="AI164" t="s">
        <v>208</v>
      </c>
      <c r="AJ164">
        <v>35.773865999999998</v>
      </c>
      <c r="AK164" t="s">
        <v>209</v>
      </c>
      <c r="AL164">
        <v>-84.004276000000004</v>
      </c>
      <c r="AM164">
        <v>25</v>
      </c>
      <c r="AN164">
        <v>1750</v>
      </c>
      <c r="AO164" t="s">
        <v>118</v>
      </c>
      <c r="AP164">
        <v>121</v>
      </c>
      <c r="AQ164">
        <v>-58</v>
      </c>
      <c r="AR164">
        <v>256</v>
      </c>
      <c r="AZ164">
        <v>300</v>
      </c>
      <c r="BA164">
        <v>1</v>
      </c>
      <c r="BB164" t="str">
        <f t="shared" si="8"/>
        <v xml:space="preserve">N162AM  </v>
      </c>
      <c r="BC164">
        <v>1</v>
      </c>
      <c r="BE164">
        <v>0</v>
      </c>
      <c r="BF164">
        <v>0</v>
      </c>
      <c r="BG164">
        <v>0</v>
      </c>
      <c r="BH164">
        <v>2025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>"14:43:11.834"</f>
        <v>14:43:11.834</v>
      </c>
      <c r="CJ164">
        <v>3</v>
      </c>
      <c r="CK164">
        <v>2</v>
      </c>
      <c r="CL164">
        <v>0</v>
      </c>
      <c r="CM164">
        <v>2</v>
      </c>
      <c r="CN164">
        <v>0</v>
      </c>
      <c r="CO164">
        <v>5</v>
      </c>
      <c r="CP164" t="s">
        <v>119</v>
      </c>
      <c r="CQ164">
        <v>232</v>
      </c>
      <c r="CR164">
        <v>2</v>
      </c>
      <c r="CW164">
        <v>6070732</v>
      </c>
      <c r="CY164">
        <v>1</v>
      </c>
      <c r="CZ164">
        <v>0</v>
      </c>
      <c r="DA164">
        <v>0</v>
      </c>
      <c r="DB164">
        <v>0</v>
      </c>
      <c r="DC164">
        <v>0</v>
      </c>
      <c r="DD164">
        <v>1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"12/16/2021 14:43:12.083"</f>
        <v>12/16/2021 14:43:12.083</v>
      </c>
      <c r="C165" t="str">
        <f t="shared" si="7"/>
        <v>FFDFD3C0</v>
      </c>
      <c r="D165" t="s">
        <v>113</v>
      </c>
      <c r="E165">
        <v>8</v>
      </c>
      <c r="H165">
        <v>176</v>
      </c>
      <c r="I165" t="s">
        <v>114</v>
      </c>
      <c r="J165" t="s">
        <v>115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"14:43:11.828"</f>
        <v>14:43:11.828</v>
      </c>
      <c r="T165" t="str">
        <f>"14:43:11.428"</f>
        <v>14:43:11.428</v>
      </c>
      <c r="U165" t="str">
        <f t="shared" si="6"/>
        <v>A0F928</v>
      </c>
      <c r="V165">
        <v>0</v>
      </c>
      <c r="W165">
        <v>0</v>
      </c>
      <c r="X165">
        <v>2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3</v>
      </c>
      <c r="AG165">
        <v>2</v>
      </c>
      <c r="AH165">
        <v>1</v>
      </c>
      <c r="AI165" t="s">
        <v>208</v>
      </c>
      <c r="AJ165">
        <v>35.773865999999998</v>
      </c>
      <c r="AK165" t="s">
        <v>209</v>
      </c>
      <c r="AL165">
        <v>-84.004276000000004</v>
      </c>
      <c r="AM165">
        <v>25</v>
      </c>
      <c r="AN165">
        <v>1750</v>
      </c>
      <c r="AO165" t="s">
        <v>118</v>
      </c>
      <c r="AP165">
        <v>121</v>
      </c>
      <c r="AQ165">
        <v>-58</v>
      </c>
      <c r="AR165">
        <v>256</v>
      </c>
      <c r="AZ165">
        <v>300</v>
      </c>
      <c r="BA165">
        <v>1</v>
      </c>
      <c r="BB165" t="str">
        <f t="shared" si="8"/>
        <v xml:space="preserve">N162AM  </v>
      </c>
      <c r="BC165">
        <v>1</v>
      </c>
      <c r="BE165">
        <v>0</v>
      </c>
      <c r="BF165">
        <v>0</v>
      </c>
      <c r="BG165">
        <v>0</v>
      </c>
      <c r="BH165">
        <v>2025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>"14:43:11.834"</f>
        <v>14:43:11.834</v>
      </c>
      <c r="CJ165">
        <v>3</v>
      </c>
      <c r="CK165">
        <v>2</v>
      </c>
      <c r="CL165">
        <v>0</v>
      </c>
      <c r="CM165">
        <v>2</v>
      </c>
      <c r="CN165">
        <v>0</v>
      </c>
      <c r="CO165">
        <v>5</v>
      </c>
      <c r="CP165" t="s">
        <v>119</v>
      </c>
      <c r="CQ165">
        <v>232</v>
      </c>
      <c r="CR165">
        <v>2</v>
      </c>
      <c r="CW165">
        <v>6070732</v>
      </c>
      <c r="CY165">
        <v>1</v>
      </c>
      <c r="CZ165">
        <v>0</v>
      </c>
      <c r="DA165">
        <v>1</v>
      </c>
      <c r="DB165">
        <v>0</v>
      </c>
      <c r="DC165">
        <v>0</v>
      </c>
      <c r="DD165">
        <v>1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"12/16/2021 14:43:12.083"</f>
        <v>12/16/2021 14:43:12.083</v>
      </c>
      <c r="C166" t="str">
        <f t="shared" si="7"/>
        <v>FFDFD3C0</v>
      </c>
      <c r="D166" t="s">
        <v>124</v>
      </c>
      <c r="E166">
        <v>5</v>
      </c>
      <c r="F166">
        <v>1005</v>
      </c>
      <c r="G166" t="s">
        <v>114</v>
      </c>
      <c r="J166" t="s">
        <v>125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"14:43:11.828"</f>
        <v>14:43:11.828</v>
      </c>
      <c r="T166" t="str">
        <f>"14:43:11.428"</f>
        <v>14:43:11.428</v>
      </c>
      <c r="U166" t="str">
        <f t="shared" si="6"/>
        <v>A0F928</v>
      </c>
      <c r="V166">
        <v>0</v>
      </c>
      <c r="W166">
        <v>0</v>
      </c>
      <c r="X166">
        <v>2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3</v>
      </c>
      <c r="AG166">
        <v>2</v>
      </c>
      <c r="AH166">
        <v>1</v>
      </c>
      <c r="AI166" t="s">
        <v>208</v>
      </c>
      <c r="AJ166">
        <v>35.773865999999998</v>
      </c>
      <c r="AK166" t="s">
        <v>209</v>
      </c>
      <c r="AL166">
        <v>-84.004276000000004</v>
      </c>
      <c r="AM166">
        <v>25</v>
      </c>
      <c r="AN166">
        <v>1750</v>
      </c>
      <c r="AO166" t="s">
        <v>118</v>
      </c>
      <c r="AP166">
        <v>121</v>
      </c>
      <c r="AQ166">
        <v>-58</v>
      </c>
      <c r="AR166">
        <v>256</v>
      </c>
      <c r="AZ166">
        <v>300</v>
      </c>
      <c r="BA166">
        <v>1</v>
      </c>
      <c r="BB166" t="str">
        <f t="shared" si="8"/>
        <v xml:space="preserve">N162AM  </v>
      </c>
      <c r="BC166">
        <v>1</v>
      </c>
      <c r="BE166">
        <v>0</v>
      </c>
      <c r="BF166">
        <v>0</v>
      </c>
      <c r="BG166">
        <v>0</v>
      </c>
      <c r="BH166">
        <v>2025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>"14:43:11.834"</f>
        <v>14:43:11.834</v>
      </c>
      <c r="CJ166">
        <v>3</v>
      </c>
      <c r="CK166">
        <v>2</v>
      </c>
      <c r="CL166">
        <v>0</v>
      </c>
      <c r="CM166">
        <v>2</v>
      </c>
      <c r="CN166">
        <v>0</v>
      </c>
      <c r="CO166">
        <v>5</v>
      </c>
      <c r="CP166" t="s">
        <v>119</v>
      </c>
      <c r="CQ166">
        <v>232</v>
      </c>
      <c r="CR166">
        <v>2</v>
      </c>
      <c r="CW166">
        <v>6070732</v>
      </c>
      <c r="CY166">
        <v>1</v>
      </c>
      <c r="CZ166">
        <v>0</v>
      </c>
      <c r="DA166">
        <v>1</v>
      </c>
      <c r="DB166">
        <v>0</v>
      </c>
      <c r="DC166">
        <v>0</v>
      </c>
      <c r="DD166">
        <v>1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"12/16/2021 14:43:12.083"</f>
        <v>12/16/2021 14:43:12.083</v>
      </c>
      <c r="C167" t="str">
        <f t="shared" si="7"/>
        <v>FFDFD3C0</v>
      </c>
      <c r="D167" t="s">
        <v>133</v>
      </c>
      <c r="E167">
        <v>44</v>
      </c>
      <c r="H167">
        <v>131</v>
      </c>
      <c r="I167" t="s">
        <v>134</v>
      </c>
      <c r="J167" t="s">
        <v>135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"14:43:11.828"</f>
        <v>14:43:11.828</v>
      </c>
      <c r="T167" t="str">
        <f>"14:43:11.428"</f>
        <v>14:43:11.428</v>
      </c>
      <c r="U167" t="str">
        <f t="shared" si="6"/>
        <v>A0F928</v>
      </c>
      <c r="V167">
        <v>0</v>
      </c>
      <c r="W167">
        <v>0</v>
      </c>
      <c r="X167">
        <v>2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3</v>
      </c>
      <c r="AG167">
        <v>2</v>
      </c>
      <c r="AH167">
        <v>1</v>
      </c>
      <c r="AI167" t="s">
        <v>208</v>
      </c>
      <c r="AJ167">
        <v>35.773865999999998</v>
      </c>
      <c r="AK167" t="s">
        <v>209</v>
      </c>
      <c r="AL167">
        <v>-84.004276000000004</v>
      </c>
      <c r="AM167">
        <v>25</v>
      </c>
      <c r="AN167">
        <v>1750</v>
      </c>
      <c r="AO167" t="s">
        <v>118</v>
      </c>
      <c r="AP167">
        <v>121</v>
      </c>
      <c r="AQ167">
        <v>-58</v>
      </c>
      <c r="AR167">
        <v>256</v>
      </c>
      <c r="AZ167">
        <v>300</v>
      </c>
      <c r="BA167">
        <v>1</v>
      </c>
      <c r="BB167" t="str">
        <f t="shared" si="8"/>
        <v xml:space="preserve">N162AM  </v>
      </c>
      <c r="BC167">
        <v>1</v>
      </c>
      <c r="BE167">
        <v>0</v>
      </c>
      <c r="BF167">
        <v>0</v>
      </c>
      <c r="BG167">
        <v>0</v>
      </c>
      <c r="BH167">
        <v>2025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>"14:43:11.834"</f>
        <v>14:43:11.834</v>
      </c>
      <c r="CJ167">
        <v>3</v>
      </c>
      <c r="CK167">
        <v>2</v>
      </c>
      <c r="CL167">
        <v>0</v>
      </c>
      <c r="CM167">
        <v>2</v>
      </c>
      <c r="CN167">
        <v>0</v>
      </c>
      <c r="CO167">
        <v>5</v>
      </c>
      <c r="CP167" t="s">
        <v>119</v>
      </c>
      <c r="CQ167">
        <v>232</v>
      </c>
      <c r="CR167">
        <v>2</v>
      </c>
      <c r="CW167">
        <v>6070732</v>
      </c>
      <c r="CY167">
        <v>1</v>
      </c>
      <c r="CZ167">
        <v>0</v>
      </c>
      <c r="DA167">
        <v>1</v>
      </c>
      <c r="DB167">
        <v>0</v>
      </c>
      <c r="DC167">
        <v>0</v>
      </c>
      <c r="DD167">
        <v>1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"12/16/2021 14:43:13.099"</f>
        <v>12/16/2021 14:43:13.099</v>
      </c>
      <c r="C168" t="str">
        <f t="shared" si="7"/>
        <v>FFDFD3C0</v>
      </c>
      <c r="D168" t="s">
        <v>124</v>
      </c>
      <c r="E168">
        <v>10</v>
      </c>
      <c r="F168">
        <v>1010</v>
      </c>
      <c r="G168" t="s">
        <v>130</v>
      </c>
      <c r="J168" t="s">
        <v>125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"14:43:12.875"</f>
        <v>14:43:12.875</v>
      </c>
      <c r="T168" t="str">
        <f>"14:43:12.375"</f>
        <v>14:43:12.375</v>
      </c>
      <c r="U168" t="str">
        <f t="shared" si="6"/>
        <v>A0F928</v>
      </c>
      <c r="V168">
        <v>0</v>
      </c>
      <c r="W168">
        <v>0</v>
      </c>
      <c r="X168">
        <v>2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3</v>
      </c>
      <c r="AG168">
        <v>2</v>
      </c>
      <c r="AH168">
        <v>1</v>
      </c>
      <c r="AI168" t="s">
        <v>210</v>
      </c>
      <c r="AJ168">
        <v>35.773629999999997</v>
      </c>
      <c r="AK168" t="s">
        <v>211</v>
      </c>
      <c r="AL168">
        <v>-84.003460000000004</v>
      </c>
      <c r="AM168">
        <v>25</v>
      </c>
      <c r="AN168">
        <v>1750</v>
      </c>
      <c r="AO168" t="s">
        <v>118</v>
      </c>
      <c r="AP168">
        <v>124</v>
      </c>
      <c r="AQ168">
        <v>-50</v>
      </c>
      <c r="AR168">
        <v>256</v>
      </c>
      <c r="AZ168">
        <v>300</v>
      </c>
      <c r="BA168">
        <v>1</v>
      </c>
      <c r="BB168" t="str">
        <f t="shared" si="8"/>
        <v xml:space="preserve">N162AM  </v>
      </c>
      <c r="BC168">
        <v>1</v>
      </c>
      <c r="BE168">
        <v>0</v>
      </c>
      <c r="BF168">
        <v>0</v>
      </c>
      <c r="BG168">
        <v>0</v>
      </c>
      <c r="BH168">
        <v>2025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>"14:43:12.880"</f>
        <v>14:43:12.880</v>
      </c>
      <c r="CJ168">
        <v>3</v>
      </c>
      <c r="CK168">
        <v>2</v>
      </c>
      <c r="CL168">
        <v>0</v>
      </c>
      <c r="CM168">
        <v>2</v>
      </c>
      <c r="CN168">
        <v>0</v>
      </c>
      <c r="CO168">
        <v>5</v>
      </c>
      <c r="CP168" t="s">
        <v>119</v>
      </c>
      <c r="CQ168">
        <v>232</v>
      </c>
      <c r="CR168">
        <v>1</v>
      </c>
      <c r="CW168">
        <v>14872695</v>
      </c>
      <c r="CY168">
        <v>1</v>
      </c>
      <c r="CZ168">
        <v>0</v>
      </c>
      <c r="DA168">
        <v>0</v>
      </c>
      <c r="DB168">
        <v>0</v>
      </c>
      <c r="DC168">
        <v>0</v>
      </c>
      <c r="DD168">
        <v>1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"12/16/2021 14:43:13.115"</f>
        <v>12/16/2021 14:43:13.115</v>
      </c>
      <c r="C169" t="str">
        <f t="shared" si="7"/>
        <v>FFDFD3C0</v>
      </c>
      <c r="D169" t="s">
        <v>113</v>
      </c>
      <c r="E169">
        <v>8</v>
      </c>
      <c r="H169">
        <v>176</v>
      </c>
      <c r="I169" t="s">
        <v>114</v>
      </c>
      <c r="J169" t="s">
        <v>115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"14:43:12.875"</f>
        <v>14:43:12.875</v>
      </c>
      <c r="T169" t="str">
        <f>"14:43:12.375"</f>
        <v>14:43:12.375</v>
      </c>
      <c r="U169" t="str">
        <f t="shared" si="6"/>
        <v>A0F928</v>
      </c>
      <c r="V169">
        <v>0</v>
      </c>
      <c r="W169">
        <v>0</v>
      </c>
      <c r="X169">
        <v>2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3</v>
      </c>
      <c r="AG169">
        <v>2</v>
      </c>
      <c r="AH169">
        <v>1</v>
      </c>
      <c r="AI169" t="s">
        <v>210</v>
      </c>
      <c r="AJ169">
        <v>35.773629999999997</v>
      </c>
      <c r="AK169" t="s">
        <v>211</v>
      </c>
      <c r="AL169">
        <v>-84.003460000000004</v>
      </c>
      <c r="AM169">
        <v>25</v>
      </c>
      <c r="AN169">
        <v>1750</v>
      </c>
      <c r="AO169" t="s">
        <v>118</v>
      </c>
      <c r="AP169">
        <v>124</v>
      </c>
      <c r="AQ169">
        <v>-50</v>
      </c>
      <c r="AR169">
        <v>256</v>
      </c>
      <c r="AZ169">
        <v>300</v>
      </c>
      <c r="BA169">
        <v>1</v>
      </c>
      <c r="BB169" t="str">
        <f t="shared" si="8"/>
        <v xml:space="preserve">N162AM  </v>
      </c>
      <c r="BC169">
        <v>1</v>
      </c>
      <c r="BE169">
        <v>0</v>
      </c>
      <c r="BF169">
        <v>0</v>
      </c>
      <c r="BG169">
        <v>0</v>
      </c>
      <c r="BH169">
        <v>2025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"14:43:12.880"</f>
        <v>14:43:12.880</v>
      </c>
      <c r="CJ169">
        <v>3</v>
      </c>
      <c r="CK169">
        <v>2</v>
      </c>
      <c r="CL169">
        <v>0</v>
      </c>
      <c r="CM169">
        <v>2</v>
      </c>
      <c r="CN169">
        <v>0</v>
      </c>
      <c r="CO169">
        <v>5</v>
      </c>
      <c r="CP169" t="s">
        <v>119</v>
      </c>
      <c r="CQ169">
        <v>232</v>
      </c>
      <c r="CR169">
        <v>1</v>
      </c>
      <c r="CW169">
        <v>14872695</v>
      </c>
      <c r="CY169">
        <v>1</v>
      </c>
      <c r="CZ169">
        <v>0</v>
      </c>
      <c r="DA169">
        <v>1</v>
      </c>
      <c r="DB169">
        <v>0</v>
      </c>
      <c r="DC169">
        <v>0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"12/16/2021 14:43:13.115"</f>
        <v>12/16/2021 14:43:13.115</v>
      </c>
      <c r="C170" t="str">
        <f t="shared" si="7"/>
        <v>FFDFD3C0</v>
      </c>
      <c r="D170" t="s">
        <v>124</v>
      </c>
      <c r="E170">
        <v>5</v>
      </c>
      <c r="F170">
        <v>1005</v>
      </c>
      <c r="G170" t="s">
        <v>114</v>
      </c>
      <c r="J170" t="s">
        <v>125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"14:43:12.875"</f>
        <v>14:43:12.875</v>
      </c>
      <c r="T170" t="str">
        <f>"14:43:12.375"</f>
        <v>14:43:12.375</v>
      </c>
      <c r="U170" t="str">
        <f t="shared" si="6"/>
        <v>A0F928</v>
      </c>
      <c r="V170">
        <v>0</v>
      </c>
      <c r="W170">
        <v>0</v>
      </c>
      <c r="X170">
        <v>2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3</v>
      </c>
      <c r="AG170">
        <v>2</v>
      </c>
      <c r="AH170">
        <v>1</v>
      </c>
      <c r="AI170" t="s">
        <v>210</v>
      </c>
      <c r="AJ170">
        <v>35.773629999999997</v>
      </c>
      <c r="AK170" t="s">
        <v>211</v>
      </c>
      <c r="AL170">
        <v>-84.003460000000004</v>
      </c>
      <c r="AM170">
        <v>25</v>
      </c>
      <c r="AN170">
        <v>1750</v>
      </c>
      <c r="AO170" t="s">
        <v>118</v>
      </c>
      <c r="AP170">
        <v>124</v>
      </c>
      <c r="AQ170">
        <v>-50</v>
      </c>
      <c r="AR170">
        <v>256</v>
      </c>
      <c r="AZ170">
        <v>300</v>
      </c>
      <c r="BA170">
        <v>1</v>
      </c>
      <c r="BB170" t="str">
        <f t="shared" si="8"/>
        <v xml:space="preserve">N162AM  </v>
      </c>
      <c r="BC170">
        <v>1</v>
      </c>
      <c r="BE170">
        <v>0</v>
      </c>
      <c r="BF170">
        <v>0</v>
      </c>
      <c r="BG170">
        <v>0</v>
      </c>
      <c r="BH170">
        <v>2025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"14:43:12.880"</f>
        <v>14:43:12.880</v>
      </c>
      <c r="CJ170">
        <v>3</v>
      </c>
      <c r="CK170">
        <v>2</v>
      </c>
      <c r="CL170">
        <v>0</v>
      </c>
      <c r="CM170">
        <v>2</v>
      </c>
      <c r="CN170">
        <v>0</v>
      </c>
      <c r="CO170">
        <v>5</v>
      </c>
      <c r="CP170" t="s">
        <v>119</v>
      </c>
      <c r="CQ170">
        <v>232</v>
      </c>
      <c r="CR170">
        <v>1</v>
      </c>
      <c r="CW170">
        <v>14872695</v>
      </c>
      <c r="CY170">
        <v>1</v>
      </c>
      <c r="CZ170">
        <v>0</v>
      </c>
      <c r="DA170">
        <v>1</v>
      </c>
      <c r="DB170">
        <v>0</v>
      </c>
      <c r="DC170">
        <v>0</v>
      </c>
      <c r="DD170">
        <v>1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"12/16/2021 14:43:13.115"</f>
        <v>12/16/2021 14:43:13.115</v>
      </c>
      <c r="C171" t="str">
        <f t="shared" si="7"/>
        <v>FFDFD3C0</v>
      </c>
      <c r="D171" t="s">
        <v>133</v>
      </c>
      <c r="E171">
        <v>44</v>
      </c>
      <c r="H171">
        <v>131</v>
      </c>
      <c r="I171" t="s">
        <v>134</v>
      </c>
      <c r="J171" t="s">
        <v>135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"14:43:12.875"</f>
        <v>14:43:12.875</v>
      </c>
      <c r="T171" t="str">
        <f>"14:43:12.375"</f>
        <v>14:43:12.375</v>
      </c>
      <c r="U171" t="str">
        <f t="shared" si="6"/>
        <v>A0F928</v>
      </c>
      <c r="V171">
        <v>0</v>
      </c>
      <c r="W171">
        <v>0</v>
      </c>
      <c r="X171">
        <v>2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3</v>
      </c>
      <c r="AG171">
        <v>2</v>
      </c>
      <c r="AH171">
        <v>1</v>
      </c>
      <c r="AI171" t="s">
        <v>210</v>
      </c>
      <c r="AJ171">
        <v>35.773629999999997</v>
      </c>
      <c r="AK171" t="s">
        <v>211</v>
      </c>
      <c r="AL171">
        <v>-84.003460000000004</v>
      </c>
      <c r="AM171">
        <v>25</v>
      </c>
      <c r="AN171">
        <v>1750</v>
      </c>
      <c r="AO171" t="s">
        <v>118</v>
      </c>
      <c r="AP171">
        <v>124</v>
      </c>
      <c r="AQ171">
        <v>-50</v>
      </c>
      <c r="AR171">
        <v>256</v>
      </c>
      <c r="AZ171">
        <v>300</v>
      </c>
      <c r="BA171">
        <v>1</v>
      </c>
      <c r="BB171" t="str">
        <f t="shared" si="8"/>
        <v xml:space="preserve">N162AM  </v>
      </c>
      <c r="BC171">
        <v>1</v>
      </c>
      <c r="BE171">
        <v>0</v>
      </c>
      <c r="BF171">
        <v>0</v>
      </c>
      <c r="BG171">
        <v>0</v>
      </c>
      <c r="BH171">
        <v>2025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"14:43:12.880"</f>
        <v>14:43:12.880</v>
      </c>
      <c r="CJ171">
        <v>3</v>
      </c>
      <c r="CK171">
        <v>2</v>
      </c>
      <c r="CL171">
        <v>0</v>
      </c>
      <c r="CM171">
        <v>2</v>
      </c>
      <c r="CN171">
        <v>0</v>
      </c>
      <c r="CO171">
        <v>5</v>
      </c>
      <c r="CP171" t="s">
        <v>119</v>
      </c>
      <c r="CQ171">
        <v>232</v>
      </c>
      <c r="CR171">
        <v>1</v>
      </c>
      <c r="CW171">
        <v>14872695</v>
      </c>
      <c r="CY171">
        <v>1</v>
      </c>
      <c r="CZ171">
        <v>0</v>
      </c>
      <c r="DA171">
        <v>1</v>
      </c>
      <c r="DB171">
        <v>0</v>
      </c>
      <c r="DC171">
        <v>0</v>
      </c>
      <c r="DD171">
        <v>1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"12/16/2021 14:43:14.241"</f>
        <v>12/16/2021 14:43:14.241</v>
      </c>
      <c r="C172" t="str">
        <f t="shared" si="7"/>
        <v>FFDFD3C0</v>
      </c>
      <c r="D172" t="s">
        <v>124</v>
      </c>
      <c r="E172">
        <v>5</v>
      </c>
      <c r="F172">
        <v>1005</v>
      </c>
      <c r="G172" t="s">
        <v>114</v>
      </c>
      <c r="J172" t="s">
        <v>125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"14:43:14.039"</f>
        <v>14:43:14.039</v>
      </c>
      <c r="T172" t="str">
        <f>"14:43:13.539"</f>
        <v>14:43:13.539</v>
      </c>
      <c r="U172" t="str">
        <f t="shared" si="6"/>
        <v>A0F928</v>
      </c>
      <c r="V172">
        <v>0</v>
      </c>
      <c r="W172">
        <v>0</v>
      </c>
      <c r="X172">
        <v>2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2</v>
      </c>
      <c r="AH172">
        <v>1</v>
      </c>
      <c r="AI172" t="s">
        <v>212</v>
      </c>
      <c r="AJ172">
        <v>35.773415999999997</v>
      </c>
      <c r="AK172" t="s">
        <v>213</v>
      </c>
      <c r="AL172">
        <v>-84.002666000000005</v>
      </c>
      <c r="AM172">
        <v>25</v>
      </c>
      <c r="AN172">
        <v>1750</v>
      </c>
      <c r="AO172" t="s">
        <v>118</v>
      </c>
      <c r="AP172">
        <v>128</v>
      </c>
      <c r="AQ172">
        <v>-40</v>
      </c>
      <c r="AR172">
        <v>128</v>
      </c>
      <c r="AZ172">
        <v>300</v>
      </c>
      <c r="BA172">
        <v>1</v>
      </c>
      <c r="BB172" t="str">
        <f t="shared" si="8"/>
        <v xml:space="preserve">N162AM  </v>
      </c>
      <c r="BC172">
        <v>1</v>
      </c>
      <c r="BE172">
        <v>0</v>
      </c>
      <c r="BF172">
        <v>0</v>
      </c>
      <c r="BG172">
        <v>0</v>
      </c>
      <c r="BH172">
        <v>2025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"14:43:14.041"</f>
        <v>14:43:14.041</v>
      </c>
      <c r="CJ172">
        <v>3</v>
      </c>
      <c r="CK172">
        <v>2</v>
      </c>
      <c r="CL172">
        <v>0</v>
      </c>
      <c r="CM172">
        <v>2</v>
      </c>
      <c r="CN172">
        <v>0</v>
      </c>
      <c r="CO172">
        <v>6</v>
      </c>
      <c r="CP172" t="s">
        <v>119</v>
      </c>
      <c r="CQ172">
        <v>232</v>
      </c>
      <c r="CR172">
        <v>1</v>
      </c>
      <c r="CW172">
        <v>14874484</v>
      </c>
      <c r="CY172">
        <v>1</v>
      </c>
      <c r="CZ172">
        <v>0</v>
      </c>
      <c r="DA172">
        <v>0</v>
      </c>
      <c r="DB172">
        <v>0</v>
      </c>
      <c r="DC172">
        <v>0</v>
      </c>
      <c r="DD172">
        <v>1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"12/16/2021 14:43:14.241"</f>
        <v>12/16/2021 14:43:14.241</v>
      </c>
      <c r="C173" t="str">
        <f t="shared" si="7"/>
        <v>FFDFD3C0</v>
      </c>
      <c r="D173" t="s">
        <v>113</v>
      </c>
      <c r="E173">
        <v>8</v>
      </c>
      <c r="H173">
        <v>176</v>
      </c>
      <c r="I173" t="s">
        <v>114</v>
      </c>
      <c r="J173" t="s">
        <v>115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"14:43:14.039"</f>
        <v>14:43:14.039</v>
      </c>
      <c r="T173" t="str">
        <f>"14:43:13.539"</f>
        <v>14:43:13.539</v>
      </c>
      <c r="U173" t="str">
        <f t="shared" si="6"/>
        <v>A0F928</v>
      </c>
      <c r="V173">
        <v>0</v>
      </c>
      <c r="W173">
        <v>0</v>
      </c>
      <c r="X173">
        <v>2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2</v>
      </c>
      <c r="AH173">
        <v>1</v>
      </c>
      <c r="AI173" t="s">
        <v>212</v>
      </c>
      <c r="AJ173">
        <v>35.773415999999997</v>
      </c>
      <c r="AK173" t="s">
        <v>213</v>
      </c>
      <c r="AL173">
        <v>-84.002666000000005</v>
      </c>
      <c r="AM173">
        <v>25</v>
      </c>
      <c r="AN173">
        <v>1750</v>
      </c>
      <c r="AO173" t="s">
        <v>118</v>
      </c>
      <c r="AP173">
        <v>128</v>
      </c>
      <c r="AQ173">
        <v>-40</v>
      </c>
      <c r="AR173">
        <v>128</v>
      </c>
      <c r="AZ173">
        <v>300</v>
      </c>
      <c r="BA173">
        <v>1</v>
      </c>
      <c r="BB173" t="str">
        <f t="shared" si="8"/>
        <v xml:space="preserve">N162AM  </v>
      </c>
      <c r="BC173">
        <v>1</v>
      </c>
      <c r="BE173">
        <v>0</v>
      </c>
      <c r="BF173">
        <v>0</v>
      </c>
      <c r="BG173">
        <v>0</v>
      </c>
      <c r="BH173">
        <v>2025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"14:43:14.041"</f>
        <v>14:43:14.041</v>
      </c>
      <c r="CJ173">
        <v>3</v>
      </c>
      <c r="CK173">
        <v>2</v>
      </c>
      <c r="CL173">
        <v>0</v>
      </c>
      <c r="CM173">
        <v>2</v>
      </c>
      <c r="CN173">
        <v>0</v>
      </c>
      <c r="CO173">
        <v>6</v>
      </c>
      <c r="CP173" t="s">
        <v>119</v>
      </c>
      <c r="CQ173">
        <v>232</v>
      </c>
      <c r="CR173">
        <v>1</v>
      </c>
      <c r="CW173">
        <v>14874484</v>
      </c>
      <c r="CY173">
        <v>1</v>
      </c>
      <c r="CZ173">
        <v>0</v>
      </c>
      <c r="DA173">
        <v>1</v>
      </c>
      <c r="DB173">
        <v>0</v>
      </c>
      <c r="DC173">
        <v>0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"12/16/2021 14:43:14.241"</f>
        <v>12/16/2021 14:43:14.241</v>
      </c>
      <c r="C174" t="str">
        <f t="shared" si="7"/>
        <v>FFDFD3C0</v>
      </c>
      <c r="D174" t="s">
        <v>133</v>
      </c>
      <c r="E174">
        <v>44</v>
      </c>
      <c r="H174">
        <v>131</v>
      </c>
      <c r="I174" t="s">
        <v>134</v>
      </c>
      <c r="J174" t="s">
        <v>135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"14:43:14.039"</f>
        <v>14:43:14.039</v>
      </c>
      <c r="T174" t="str">
        <f>"14:43:13.539"</f>
        <v>14:43:13.539</v>
      </c>
      <c r="U174" t="str">
        <f t="shared" si="6"/>
        <v>A0F928</v>
      </c>
      <c r="V174">
        <v>0</v>
      </c>
      <c r="W174">
        <v>0</v>
      </c>
      <c r="X174">
        <v>2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3</v>
      </c>
      <c r="AG174">
        <v>2</v>
      </c>
      <c r="AH174">
        <v>1</v>
      </c>
      <c r="AI174" t="s">
        <v>212</v>
      </c>
      <c r="AJ174">
        <v>35.773415999999997</v>
      </c>
      <c r="AK174" t="s">
        <v>213</v>
      </c>
      <c r="AL174">
        <v>-84.002666000000005</v>
      </c>
      <c r="AM174">
        <v>25</v>
      </c>
      <c r="AN174">
        <v>1750</v>
      </c>
      <c r="AO174" t="s">
        <v>118</v>
      </c>
      <c r="AP174">
        <v>128</v>
      </c>
      <c r="AQ174">
        <v>-40</v>
      </c>
      <c r="AR174">
        <v>128</v>
      </c>
      <c r="AZ174">
        <v>300</v>
      </c>
      <c r="BA174">
        <v>1</v>
      </c>
      <c r="BB174" t="str">
        <f t="shared" si="8"/>
        <v xml:space="preserve">N162AM  </v>
      </c>
      <c r="BC174">
        <v>1</v>
      </c>
      <c r="BE174">
        <v>0</v>
      </c>
      <c r="BF174">
        <v>0</v>
      </c>
      <c r="BG174">
        <v>0</v>
      </c>
      <c r="BH174">
        <v>2025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"14:43:14.041"</f>
        <v>14:43:14.041</v>
      </c>
      <c r="CJ174">
        <v>3</v>
      </c>
      <c r="CK174">
        <v>2</v>
      </c>
      <c r="CL174">
        <v>0</v>
      </c>
      <c r="CM174">
        <v>2</v>
      </c>
      <c r="CN174">
        <v>0</v>
      </c>
      <c r="CO174">
        <v>6</v>
      </c>
      <c r="CP174" t="s">
        <v>119</v>
      </c>
      <c r="CQ174">
        <v>232</v>
      </c>
      <c r="CR174">
        <v>1</v>
      </c>
      <c r="CW174">
        <v>14874484</v>
      </c>
      <c r="CY174">
        <v>1</v>
      </c>
      <c r="CZ174">
        <v>0</v>
      </c>
      <c r="DA174">
        <v>1</v>
      </c>
      <c r="DB174">
        <v>0</v>
      </c>
      <c r="DC174">
        <v>0</v>
      </c>
      <c r="DD174">
        <v>1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"12/16/2021 14:43:14.241"</f>
        <v>12/16/2021 14:43:14.241</v>
      </c>
      <c r="C175" t="str">
        <f t="shared" si="7"/>
        <v>FFDFD3C0</v>
      </c>
      <c r="D175" t="s">
        <v>124</v>
      </c>
      <c r="E175">
        <v>10</v>
      </c>
      <c r="F175">
        <v>1010</v>
      </c>
      <c r="G175" t="s">
        <v>130</v>
      </c>
      <c r="J175" t="s">
        <v>125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"14:43:14.039"</f>
        <v>14:43:14.039</v>
      </c>
      <c r="T175" t="str">
        <f>"14:43:13.539"</f>
        <v>14:43:13.539</v>
      </c>
      <c r="U175" t="str">
        <f t="shared" si="6"/>
        <v>A0F928</v>
      </c>
      <c r="V175">
        <v>0</v>
      </c>
      <c r="W175">
        <v>0</v>
      </c>
      <c r="X175">
        <v>2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2</v>
      </c>
      <c r="AH175">
        <v>1</v>
      </c>
      <c r="AI175" t="s">
        <v>212</v>
      </c>
      <c r="AJ175">
        <v>35.773415999999997</v>
      </c>
      <c r="AK175" t="s">
        <v>213</v>
      </c>
      <c r="AL175">
        <v>-84.002666000000005</v>
      </c>
      <c r="AM175">
        <v>25</v>
      </c>
      <c r="AN175">
        <v>1750</v>
      </c>
      <c r="AO175" t="s">
        <v>118</v>
      </c>
      <c r="AP175">
        <v>128</v>
      </c>
      <c r="AQ175">
        <v>-40</v>
      </c>
      <c r="AR175">
        <v>128</v>
      </c>
      <c r="AZ175">
        <v>300</v>
      </c>
      <c r="BA175">
        <v>1</v>
      </c>
      <c r="BB175" t="str">
        <f t="shared" si="8"/>
        <v xml:space="preserve">N162AM  </v>
      </c>
      <c r="BC175">
        <v>1</v>
      </c>
      <c r="BE175">
        <v>0</v>
      </c>
      <c r="BF175">
        <v>0</v>
      </c>
      <c r="BG175">
        <v>0</v>
      </c>
      <c r="BH175">
        <v>2025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"14:43:14.041"</f>
        <v>14:43:14.041</v>
      </c>
      <c r="CJ175">
        <v>3</v>
      </c>
      <c r="CK175">
        <v>2</v>
      </c>
      <c r="CL175">
        <v>0</v>
      </c>
      <c r="CM175">
        <v>2</v>
      </c>
      <c r="CN175">
        <v>0</v>
      </c>
      <c r="CO175">
        <v>6</v>
      </c>
      <c r="CP175" t="s">
        <v>119</v>
      </c>
      <c r="CQ175">
        <v>232</v>
      </c>
      <c r="CR175">
        <v>1</v>
      </c>
      <c r="CW175">
        <v>14874484</v>
      </c>
      <c r="CY175">
        <v>1</v>
      </c>
      <c r="CZ175">
        <v>0</v>
      </c>
      <c r="DA175">
        <v>1</v>
      </c>
      <c r="DB175">
        <v>0</v>
      </c>
      <c r="DC175">
        <v>0</v>
      </c>
      <c r="DD175">
        <v>1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"12/16/2021 14:43:15.349"</f>
        <v>12/16/2021 14:43:15.349</v>
      </c>
      <c r="C176" t="str">
        <f t="shared" si="7"/>
        <v>FFDFD3C0</v>
      </c>
      <c r="D176" t="s">
        <v>124</v>
      </c>
      <c r="E176">
        <v>5</v>
      </c>
      <c r="F176">
        <v>1005</v>
      </c>
      <c r="G176" t="s">
        <v>114</v>
      </c>
      <c r="J176" t="s">
        <v>125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"14:43:15.141"</f>
        <v>14:43:15.141</v>
      </c>
      <c r="T176" t="str">
        <f>"14:43:14.641"</f>
        <v>14:43:14.641</v>
      </c>
      <c r="U176" t="str">
        <f t="shared" si="6"/>
        <v>A0F928</v>
      </c>
      <c r="V176">
        <v>0</v>
      </c>
      <c r="W176">
        <v>0</v>
      </c>
      <c r="X176">
        <v>2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2</v>
      </c>
      <c r="AH176">
        <v>1</v>
      </c>
      <c r="AI176" t="s">
        <v>214</v>
      </c>
      <c r="AJ176">
        <v>35.773243999999998</v>
      </c>
      <c r="AK176" t="s">
        <v>215</v>
      </c>
      <c r="AL176">
        <v>-84.001807999999997</v>
      </c>
      <c r="AM176">
        <v>25</v>
      </c>
      <c r="AN176">
        <v>1750</v>
      </c>
      <c r="AO176" t="s">
        <v>118</v>
      </c>
      <c r="AP176">
        <v>131</v>
      </c>
      <c r="AQ176">
        <v>-33</v>
      </c>
      <c r="AR176">
        <v>-192</v>
      </c>
      <c r="AZ176">
        <v>300</v>
      </c>
      <c r="BA176">
        <v>1</v>
      </c>
      <c r="BB176" t="str">
        <f t="shared" si="8"/>
        <v xml:space="preserve">N162AM  </v>
      </c>
      <c r="BC176">
        <v>1</v>
      </c>
      <c r="BE176">
        <v>0</v>
      </c>
      <c r="BF176">
        <v>0</v>
      </c>
      <c r="BG176">
        <v>0</v>
      </c>
      <c r="BH176">
        <v>2000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>"14:43:15.141"</f>
        <v>14:43:15.141</v>
      </c>
      <c r="CJ176">
        <v>3</v>
      </c>
      <c r="CK176">
        <v>2</v>
      </c>
      <c r="CL176">
        <v>0</v>
      </c>
      <c r="CM176">
        <v>2</v>
      </c>
      <c r="CN176">
        <v>0</v>
      </c>
      <c r="CO176">
        <v>5</v>
      </c>
      <c r="CP176" t="s">
        <v>119</v>
      </c>
      <c r="CQ176">
        <v>232</v>
      </c>
      <c r="CR176">
        <v>1</v>
      </c>
      <c r="CW176">
        <v>14876231</v>
      </c>
      <c r="CY176">
        <v>1</v>
      </c>
      <c r="CZ176">
        <v>0</v>
      </c>
      <c r="DA176">
        <v>0</v>
      </c>
      <c r="DB176">
        <v>0</v>
      </c>
      <c r="DC176">
        <v>0</v>
      </c>
      <c r="DD176">
        <v>1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"12/16/2021 14:43:15.349"</f>
        <v>12/16/2021 14:43:15.349</v>
      </c>
      <c r="C177" t="str">
        <f t="shared" si="7"/>
        <v>FFDFD3C0</v>
      </c>
      <c r="D177" t="s">
        <v>113</v>
      </c>
      <c r="E177">
        <v>8</v>
      </c>
      <c r="H177">
        <v>176</v>
      </c>
      <c r="I177" t="s">
        <v>114</v>
      </c>
      <c r="J177" t="s">
        <v>115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"14:43:15.141"</f>
        <v>14:43:15.141</v>
      </c>
      <c r="T177" t="str">
        <f>"14:43:14.641"</f>
        <v>14:43:14.641</v>
      </c>
      <c r="U177" t="str">
        <f t="shared" si="6"/>
        <v>A0F928</v>
      </c>
      <c r="V177">
        <v>0</v>
      </c>
      <c r="W177">
        <v>0</v>
      </c>
      <c r="X177">
        <v>2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2</v>
      </c>
      <c r="AH177">
        <v>1</v>
      </c>
      <c r="AI177" t="s">
        <v>214</v>
      </c>
      <c r="AJ177">
        <v>35.773243999999998</v>
      </c>
      <c r="AK177" t="s">
        <v>215</v>
      </c>
      <c r="AL177">
        <v>-84.001807999999997</v>
      </c>
      <c r="AM177">
        <v>25</v>
      </c>
      <c r="AN177">
        <v>1750</v>
      </c>
      <c r="AO177" t="s">
        <v>118</v>
      </c>
      <c r="AP177">
        <v>131</v>
      </c>
      <c r="AQ177">
        <v>-33</v>
      </c>
      <c r="AR177">
        <v>-192</v>
      </c>
      <c r="AZ177">
        <v>300</v>
      </c>
      <c r="BA177">
        <v>1</v>
      </c>
      <c r="BB177" t="str">
        <f t="shared" si="8"/>
        <v xml:space="preserve">N162AM  </v>
      </c>
      <c r="BC177">
        <v>1</v>
      </c>
      <c r="BE177">
        <v>0</v>
      </c>
      <c r="BF177">
        <v>0</v>
      </c>
      <c r="BG177">
        <v>0</v>
      </c>
      <c r="BH177">
        <v>2000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>"14:43:15.141"</f>
        <v>14:43:15.141</v>
      </c>
      <c r="CJ177">
        <v>3</v>
      </c>
      <c r="CK177">
        <v>2</v>
      </c>
      <c r="CL177">
        <v>0</v>
      </c>
      <c r="CM177">
        <v>2</v>
      </c>
      <c r="CN177">
        <v>0</v>
      </c>
      <c r="CO177">
        <v>5</v>
      </c>
      <c r="CP177" t="s">
        <v>119</v>
      </c>
      <c r="CQ177">
        <v>232</v>
      </c>
      <c r="CR177">
        <v>1</v>
      </c>
      <c r="CW177">
        <v>14876231</v>
      </c>
      <c r="CY177">
        <v>1</v>
      </c>
      <c r="CZ177">
        <v>0</v>
      </c>
      <c r="DA177">
        <v>1</v>
      </c>
      <c r="DB177">
        <v>0</v>
      </c>
      <c r="DC177">
        <v>0</v>
      </c>
      <c r="DD177">
        <v>1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"12/16/2021 14:43:15.349"</f>
        <v>12/16/2021 14:43:15.349</v>
      </c>
      <c r="C178" t="str">
        <f t="shared" si="7"/>
        <v>FFDFD3C0</v>
      </c>
      <c r="D178" t="s">
        <v>133</v>
      </c>
      <c r="E178">
        <v>44</v>
      </c>
      <c r="H178">
        <v>131</v>
      </c>
      <c r="I178" t="s">
        <v>134</v>
      </c>
      <c r="J178" t="s">
        <v>135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"14:43:15.141"</f>
        <v>14:43:15.141</v>
      </c>
      <c r="T178" t="str">
        <f>"14:43:14.641"</f>
        <v>14:43:14.641</v>
      </c>
      <c r="U178" t="str">
        <f t="shared" si="6"/>
        <v>A0F928</v>
      </c>
      <c r="V178">
        <v>0</v>
      </c>
      <c r="W178">
        <v>0</v>
      </c>
      <c r="X178">
        <v>2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2</v>
      </c>
      <c r="AH178">
        <v>1</v>
      </c>
      <c r="AI178" t="s">
        <v>214</v>
      </c>
      <c r="AJ178">
        <v>35.773243999999998</v>
      </c>
      <c r="AK178" t="s">
        <v>215</v>
      </c>
      <c r="AL178">
        <v>-84.001807999999997</v>
      </c>
      <c r="AM178">
        <v>25</v>
      </c>
      <c r="AN178">
        <v>1750</v>
      </c>
      <c r="AO178" t="s">
        <v>118</v>
      </c>
      <c r="AP178">
        <v>131</v>
      </c>
      <c r="AQ178">
        <v>-33</v>
      </c>
      <c r="AR178">
        <v>-192</v>
      </c>
      <c r="AZ178">
        <v>300</v>
      </c>
      <c r="BA178">
        <v>1</v>
      </c>
      <c r="BB178" t="str">
        <f t="shared" si="8"/>
        <v xml:space="preserve">N162AM  </v>
      </c>
      <c r="BC178">
        <v>1</v>
      </c>
      <c r="BE178">
        <v>0</v>
      </c>
      <c r="BF178">
        <v>0</v>
      </c>
      <c r="BG178">
        <v>0</v>
      </c>
      <c r="BH178">
        <v>2000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>"14:43:15.141"</f>
        <v>14:43:15.141</v>
      </c>
      <c r="CJ178">
        <v>3</v>
      </c>
      <c r="CK178">
        <v>2</v>
      </c>
      <c r="CL178">
        <v>0</v>
      </c>
      <c r="CM178">
        <v>2</v>
      </c>
      <c r="CN178">
        <v>0</v>
      </c>
      <c r="CO178">
        <v>5</v>
      </c>
      <c r="CP178" t="s">
        <v>119</v>
      </c>
      <c r="CQ178">
        <v>232</v>
      </c>
      <c r="CR178">
        <v>1</v>
      </c>
      <c r="CW178">
        <v>14876231</v>
      </c>
      <c r="CY178">
        <v>1</v>
      </c>
      <c r="CZ178">
        <v>0</v>
      </c>
      <c r="DA178">
        <v>1</v>
      </c>
      <c r="DB178">
        <v>0</v>
      </c>
      <c r="DC178">
        <v>0</v>
      </c>
      <c r="DD178">
        <v>1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"12/16/2021 14:43:15.349"</f>
        <v>12/16/2021 14:43:15.349</v>
      </c>
      <c r="C179" t="str">
        <f t="shared" si="7"/>
        <v>FFDFD3C0</v>
      </c>
      <c r="D179" t="s">
        <v>124</v>
      </c>
      <c r="E179">
        <v>10</v>
      </c>
      <c r="F179">
        <v>1010</v>
      </c>
      <c r="G179" t="s">
        <v>130</v>
      </c>
      <c r="J179" t="s">
        <v>125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"14:43:15.141"</f>
        <v>14:43:15.141</v>
      </c>
      <c r="T179" t="str">
        <f>"14:43:14.641"</f>
        <v>14:43:14.641</v>
      </c>
      <c r="U179" t="str">
        <f t="shared" si="6"/>
        <v>A0F928</v>
      </c>
      <c r="V179">
        <v>0</v>
      </c>
      <c r="W179">
        <v>0</v>
      </c>
      <c r="X179">
        <v>2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2</v>
      </c>
      <c r="AH179">
        <v>1</v>
      </c>
      <c r="AI179" t="s">
        <v>214</v>
      </c>
      <c r="AJ179">
        <v>35.773243999999998</v>
      </c>
      <c r="AK179" t="s">
        <v>215</v>
      </c>
      <c r="AL179">
        <v>-84.001807999999997</v>
      </c>
      <c r="AM179">
        <v>25</v>
      </c>
      <c r="AN179">
        <v>1750</v>
      </c>
      <c r="AO179" t="s">
        <v>118</v>
      </c>
      <c r="AP179">
        <v>131</v>
      </c>
      <c r="AQ179">
        <v>-33</v>
      </c>
      <c r="AR179">
        <v>-192</v>
      </c>
      <c r="AZ179">
        <v>300</v>
      </c>
      <c r="BA179">
        <v>1</v>
      </c>
      <c r="BB179" t="str">
        <f t="shared" si="8"/>
        <v xml:space="preserve">N162AM  </v>
      </c>
      <c r="BC179">
        <v>1</v>
      </c>
      <c r="BE179">
        <v>0</v>
      </c>
      <c r="BF179">
        <v>0</v>
      </c>
      <c r="BG179">
        <v>0</v>
      </c>
      <c r="BH179">
        <v>2000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>"14:43:15.141"</f>
        <v>14:43:15.141</v>
      </c>
      <c r="CJ179">
        <v>3</v>
      </c>
      <c r="CK179">
        <v>2</v>
      </c>
      <c r="CL179">
        <v>0</v>
      </c>
      <c r="CM179">
        <v>2</v>
      </c>
      <c r="CN179">
        <v>0</v>
      </c>
      <c r="CO179">
        <v>5</v>
      </c>
      <c r="CP179" t="s">
        <v>119</v>
      </c>
      <c r="CQ179">
        <v>232</v>
      </c>
      <c r="CR179">
        <v>1</v>
      </c>
      <c r="CW179">
        <v>14876231</v>
      </c>
      <c r="CY179">
        <v>1</v>
      </c>
      <c r="CZ179">
        <v>0</v>
      </c>
      <c r="DA179">
        <v>1</v>
      </c>
      <c r="DB179">
        <v>0</v>
      </c>
      <c r="DC179">
        <v>0</v>
      </c>
      <c r="DD179">
        <v>1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"12/16/2021 14:43:16.302"</f>
        <v>12/16/2021 14:43:16.302</v>
      </c>
      <c r="C180" t="str">
        <f t="shared" si="7"/>
        <v>FFDFD3C0</v>
      </c>
      <c r="D180" t="s">
        <v>124</v>
      </c>
      <c r="E180">
        <v>5</v>
      </c>
      <c r="F180">
        <v>1005</v>
      </c>
      <c r="G180" t="s">
        <v>114</v>
      </c>
      <c r="J180" t="s">
        <v>125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"14:43:16.094"</f>
        <v>14:43:16.094</v>
      </c>
      <c r="T180" t="str">
        <f>"14:43:15.594"</f>
        <v>14:43:15.594</v>
      </c>
      <c r="U180" t="str">
        <f t="shared" si="6"/>
        <v>A0F928</v>
      </c>
      <c r="V180">
        <v>0</v>
      </c>
      <c r="W180">
        <v>0</v>
      </c>
      <c r="X180">
        <v>2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1</v>
      </c>
      <c r="AI180" t="s">
        <v>216</v>
      </c>
      <c r="AJ180">
        <v>35.773158000000002</v>
      </c>
      <c r="AK180" t="s">
        <v>217</v>
      </c>
      <c r="AL180">
        <v>-84.001057000000003</v>
      </c>
      <c r="AM180">
        <v>25</v>
      </c>
      <c r="AN180">
        <v>1750</v>
      </c>
      <c r="AO180" t="s">
        <v>118</v>
      </c>
      <c r="AP180">
        <v>133</v>
      </c>
      <c r="AQ180">
        <v>-25</v>
      </c>
      <c r="AR180">
        <v>-448</v>
      </c>
      <c r="AZ180">
        <v>300</v>
      </c>
      <c r="BA180">
        <v>1</v>
      </c>
      <c r="BB180" t="str">
        <f t="shared" si="8"/>
        <v xml:space="preserve">N162AM  </v>
      </c>
      <c r="BC180">
        <v>1</v>
      </c>
      <c r="BE180">
        <v>0</v>
      </c>
      <c r="BF180">
        <v>0</v>
      </c>
      <c r="BG180">
        <v>0</v>
      </c>
      <c r="BH180">
        <v>2025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>"14:43:16.098"</f>
        <v>14:43:16.098</v>
      </c>
      <c r="CJ180">
        <v>3</v>
      </c>
      <c r="CK180">
        <v>2</v>
      </c>
      <c r="CL180">
        <v>0</v>
      </c>
      <c r="CM180">
        <v>2</v>
      </c>
      <c r="CN180">
        <v>0</v>
      </c>
      <c r="CO180">
        <v>3</v>
      </c>
      <c r="CP180" t="s">
        <v>119</v>
      </c>
      <c r="CQ180">
        <v>216</v>
      </c>
      <c r="CR180">
        <v>1</v>
      </c>
      <c r="CW180">
        <v>1423525</v>
      </c>
      <c r="CY180">
        <v>1</v>
      </c>
      <c r="CZ180">
        <v>0</v>
      </c>
      <c r="DA180">
        <v>0</v>
      </c>
      <c r="DB180">
        <v>0</v>
      </c>
      <c r="DC180">
        <v>0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"12/16/2021 14:43:16.302"</f>
        <v>12/16/2021 14:43:16.302</v>
      </c>
      <c r="C181" t="str">
        <f t="shared" si="7"/>
        <v>FFDFD3C0</v>
      </c>
      <c r="D181" t="s">
        <v>113</v>
      </c>
      <c r="E181">
        <v>8</v>
      </c>
      <c r="H181">
        <v>176</v>
      </c>
      <c r="I181" t="s">
        <v>114</v>
      </c>
      <c r="J181" t="s">
        <v>115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"14:43:16.094"</f>
        <v>14:43:16.094</v>
      </c>
      <c r="T181" t="str">
        <f>"14:43:15.594"</f>
        <v>14:43:15.594</v>
      </c>
      <c r="U181" t="str">
        <f t="shared" si="6"/>
        <v>A0F928</v>
      </c>
      <c r="V181">
        <v>0</v>
      </c>
      <c r="W181">
        <v>0</v>
      </c>
      <c r="X181">
        <v>2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2</v>
      </c>
      <c r="AH181">
        <v>1</v>
      </c>
      <c r="AI181" t="s">
        <v>216</v>
      </c>
      <c r="AJ181">
        <v>35.773158000000002</v>
      </c>
      <c r="AK181" t="s">
        <v>217</v>
      </c>
      <c r="AL181">
        <v>-84.001057000000003</v>
      </c>
      <c r="AM181">
        <v>25</v>
      </c>
      <c r="AN181">
        <v>1750</v>
      </c>
      <c r="AO181" t="s">
        <v>118</v>
      </c>
      <c r="AP181">
        <v>133</v>
      </c>
      <c r="AQ181">
        <v>-25</v>
      </c>
      <c r="AR181">
        <v>-448</v>
      </c>
      <c r="AZ181">
        <v>300</v>
      </c>
      <c r="BA181">
        <v>1</v>
      </c>
      <c r="BB181" t="str">
        <f t="shared" si="8"/>
        <v xml:space="preserve">N162AM  </v>
      </c>
      <c r="BC181">
        <v>1</v>
      </c>
      <c r="BE181">
        <v>0</v>
      </c>
      <c r="BF181">
        <v>0</v>
      </c>
      <c r="BG181">
        <v>0</v>
      </c>
      <c r="BH181">
        <v>2025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>"14:43:16.098"</f>
        <v>14:43:16.098</v>
      </c>
      <c r="CJ181">
        <v>3</v>
      </c>
      <c r="CK181">
        <v>2</v>
      </c>
      <c r="CL181">
        <v>0</v>
      </c>
      <c r="CM181">
        <v>2</v>
      </c>
      <c r="CN181">
        <v>0</v>
      </c>
      <c r="CO181">
        <v>3</v>
      </c>
      <c r="CP181" t="s">
        <v>119</v>
      </c>
      <c r="CQ181">
        <v>216</v>
      </c>
      <c r="CR181">
        <v>1</v>
      </c>
      <c r="CW181">
        <v>1423525</v>
      </c>
      <c r="CY181">
        <v>1</v>
      </c>
      <c r="CZ181">
        <v>0</v>
      </c>
      <c r="DA181">
        <v>1</v>
      </c>
      <c r="DB181">
        <v>0</v>
      </c>
      <c r="DC181">
        <v>0</v>
      </c>
      <c r="DD181">
        <v>1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"12/16/2021 14:43:16.318"</f>
        <v>12/16/2021 14:43:16.318</v>
      </c>
      <c r="C182" t="str">
        <f t="shared" si="7"/>
        <v>FFDFD3C0</v>
      </c>
      <c r="D182" t="s">
        <v>124</v>
      </c>
      <c r="E182">
        <v>10</v>
      </c>
      <c r="F182">
        <v>1010</v>
      </c>
      <c r="G182" t="s">
        <v>130</v>
      </c>
      <c r="J182" t="s">
        <v>125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"14:43:16.094"</f>
        <v>14:43:16.094</v>
      </c>
      <c r="T182" t="str">
        <f>"14:43:15.594"</f>
        <v>14:43:15.594</v>
      </c>
      <c r="U182" t="str">
        <f t="shared" si="6"/>
        <v>A0F928</v>
      </c>
      <c r="V182">
        <v>0</v>
      </c>
      <c r="W182">
        <v>0</v>
      </c>
      <c r="X182">
        <v>2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1</v>
      </c>
      <c r="AI182" t="s">
        <v>216</v>
      </c>
      <c r="AJ182">
        <v>35.773158000000002</v>
      </c>
      <c r="AK182" t="s">
        <v>217</v>
      </c>
      <c r="AL182">
        <v>-84.001057000000003</v>
      </c>
      <c r="AM182">
        <v>25</v>
      </c>
      <c r="AN182">
        <v>1750</v>
      </c>
      <c r="AO182" t="s">
        <v>118</v>
      </c>
      <c r="AP182">
        <v>133</v>
      </c>
      <c r="AQ182">
        <v>-25</v>
      </c>
      <c r="AR182">
        <v>-448</v>
      </c>
      <c r="AZ182">
        <v>300</v>
      </c>
      <c r="BA182">
        <v>1</v>
      </c>
      <c r="BB182" t="str">
        <f t="shared" si="8"/>
        <v xml:space="preserve">N162AM  </v>
      </c>
      <c r="BC182">
        <v>1</v>
      </c>
      <c r="BE182">
        <v>0</v>
      </c>
      <c r="BF182">
        <v>0</v>
      </c>
      <c r="BG182">
        <v>0</v>
      </c>
      <c r="BH182">
        <v>2025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>"14:43:16.098"</f>
        <v>14:43:16.098</v>
      </c>
      <c r="CJ182">
        <v>3</v>
      </c>
      <c r="CK182">
        <v>2</v>
      </c>
      <c r="CL182">
        <v>0</v>
      </c>
      <c r="CM182">
        <v>2</v>
      </c>
      <c r="CN182">
        <v>0</v>
      </c>
      <c r="CO182">
        <v>3</v>
      </c>
      <c r="CP182" t="s">
        <v>119</v>
      </c>
      <c r="CQ182">
        <v>216</v>
      </c>
      <c r="CR182">
        <v>1</v>
      </c>
      <c r="CW182">
        <v>1423525</v>
      </c>
      <c r="CY182">
        <v>1</v>
      </c>
      <c r="CZ182">
        <v>0</v>
      </c>
      <c r="DA182">
        <v>1</v>
      </c>
      <c r="DB182">
        <v>0</v>
      </c>
      <c r="DC182">
        <v>0</v>
      </c>
      <c r="DD182">
        <v>1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"12/16/2021 14:43:16.318"</f>
        <v>12/16/2021 14:43:16.318</v>
      </c>
      <c r="C183" t="str">
        <f t="shared" si="7"/>
        <v>FFDFD3C0</v>
      </c>
      <c r="D183" t="s">
        <v>133</v>
      </c>
      <c r="E183">
        <v>44</v>
      </c>
      <c r="H183">
        <v>131</v>
      </c>
      <c r="I183" t="s">
        <v>134</v>
      </c>
      <c r="J183" t="s">
        <v>135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"14:43:16.094"</f>
        <v>14:43:16.094</v>
      </c>
      <c r="T183" t="str">
        <f>"14:43:15.594"</f>
        <v>14:43:15.594</v>
      </c>
      <c r="U183" t="str">
        <f t="shared" si="6"/>
        <v>A0F928</v>
      </c>
      <c r="V183">
        <v>0</v>
      </c>
      <c r="W183">
        <v>0</v>
      </c>
      <c r="X183">
        <v>2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2</v>
      </c>
      <c r="AH183">
        <v>1</v>
      </c>
      <c r="AI183" t="s">
        <v>216</v>
      </c>
      <c r="AJ183">
        <v>35.773158000000002</v>
      </c>
      <c r="AK183" t="s">
        <v>217</v>
      </c>
      <c r="AL183">
        <v>-84.001057000000003</v>
      </c>
      <c r="AM183">
        <v>25</v>
      </c>
      <c r="AN183">
        <v>1750</v>
      </c>
      <c r="AO183" t="s">
        <v>118</v>
      </c>
      <c r="AP183">
        <v>133</v>
      </c>
      <c r="AQ183">
        <v>-25</v>
      </c>
      <c r="AR183">
        <v>-448</v>
      </c>
      <c r="AZ183">
        <v>300</v>
      </c>
      <c r="BA183">
        <v>1</v>
      </c>
      <c r="BB183" t="str">
        <f t="shared" si="8"/>
        <v xml:space="preserve">N162AM  </v>
      </c>
      <c r="BC183">
        <v>1</v>
      </c>
      <c r="BE183">
        <v>0</v>
      </c>
      <c r="BF183">
        <v>0</v>
      </c>
      <c r="BG183">
        <v>0</v>
      </c>
      <c r="BH183">
        <v>2025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>"14:43:16.098"</f>
        <v>14:43:16.098</v>
      </c>
      <c r="CJ183">
        <v>3</v>
      </c>
      <c r="CK183">
        <v>2</v>
      </c>
      <c r="CL183">
        <v>0</v>
      </c>
      <c r="CM183">
        <v>2</v>
      </c>
      <c r="CN183">
        <v>0</v>
      </c>
      <c r="CO183">
        <v>3</v>
      </c>
      <c r="CP183" t="s">
        <v>119</v>
      </c>
      <c r="CQ183">
        <v>216</v>
      </c>
      <c r="CR183">
        <v>1</v>
      </c>
      <c r="CW183">
        <v>1423525</v>
      </c>
      <c r="CY183">
        <v>1</v>
      </c>
      <c r="CZ183">
        <v>0</v>
      </c>
      <c r="DA183">
        <v>1</v>
      </c>
      <c r="DB183">
        <v>0</v>
      </c>
      <c r="DC183">
        <v>0</v>
      </c>
      <c r="DD183">
        <v>1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"12/16/2021 14:43:17.880"</f>
        <v>12/16/2021 14:43:17.880</v>
      </c>
      <c r="C184" t="str">
        <f t="shared" si="7"/>
        <v>FFDFD3C0</v>
      </c>
      <c r="D184" t="s">
        <v>124</v>
      </c>
      <c r="E184">
        <v>10</v>
      </c>
      <c r="F184">
        <v>1010</v>
      </c>
      <c r="G184" t="s">
        <v>130</v>
      </c>
      <c r="J184" t="s">
        <v>125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"14:43:17.656"</f>
        <v>14:43:17.656</v>
      </c>
      <c r="T184" t="str">
        <f>"14:43:17.256"</f>
        <v>14:43:17.256</v>
      </c>
      <c r="U184" t="str">
        <f t="shared" si="6"/>
        <v>A0F928</v>
      </c>
      <c r="V184">
        <v>0</v>
      </c>
      <c r="W184">
        <v>0</v>
      </c>
      <c r="X184">
        <v>2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1</v>
      </c>
      <c r="AI184" t="s">
        <v>218</v>
      </c>
      <c r="AJ184">
        <v>35.773071999999999</v>
      </c>
      <c r="AK184" t="s">
        <v>219</v>
      </c>
      <c r="AL184">
        <v>-83.999834000000007</v>
      </c>
      <c r="AM184">
        <v>25</v>
      </c>
      <c r="AN184">
        <v>1725</v>
      </c>
      <c r="AO184" t="s">
        <v>118</v>
      </c>
      <c r="AP184">
        <v>137</v>
      </c>
      <c r="AQ184">
        <v>-11</v>
      </c>
      <c r="AR184">
        <v>-512</v>
      </c>
      <c r="AZ184">
        <v>300</v>
      </c>
      <c r="BA184">
        <v>1</v>
      </c>
      <c r="BB184" t="str">
        <f t="shared" si="8"/>
        <v xml:space="preserve">N162AM  </v>
      </c>
      <c r="BC184">
        <v>1</v>
      </c>
      <c r="BE184">
        <v>0</v>
      </c>
      <c r="BF184">
        <v>0</v>
      </c>
      <c r="BG184">
        <v>0</v>
      </c>
      <c r="BH184">
        <v>2025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>"14:43:17.661"</f>
        <v>14:43:17.661</v>
      </c>
      <c r="CJ184">
        <v>3</v>
      </c>
      <c r="CK184">
        <v>2</v>
      </c>
      <c r="CL184">
        <v>0</v>
      </c>
      <c r="CM184">
        <v>2</v>
      </c>
      <c r="CN184">
        <v>0</v>
      </c>
      <c r="CO184">
        <v>5</v>
      </c>
      <c r="CP184" t="s">
        <v>119</v>
      </c>
      <c r="CQ184">
        <v>232</v>
      </c>
      <c r="CR184">
        <v>2</v>
      </c>
      <c r="CW184">
        <v>6079304</v>
      </c>
      <c r="CY184">
        <v>1</v>
      </c>
      <c r="CZ184">
        <v>0</v>
      </c>
      <c r="DA184">
        <v>0</v>
      </c>
      <c r="DB184">
        <v>0</v>
      </c>
      <c r="DC184">
        <v>0</v>
      </c>
      <c r="DD184">
        <v>1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"12/16/2021 14:43:17.896"</f>
        <v>12/16/2021 14:43:17.896</v>
      </c>
      <c r="C185" t="str">
        <f t="shared" si="7"/>
        <v>FFDFD3C0</v>
      </c>
      <c r="D185" t="s">
        <v>133</v>
      </c>
      <c r="E185">
        <v>44</v>
      </c>
      <c r="H185">
        <v>131</v>
      </c>
      <c r="I185" t="s">
        <v>134</v>
      </c>
      <c r="J185" t="s">
        <v>135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"14:43:17.656"</f>
        <v>14:43:17.656</v>
      </c>
      <c r="T185" t="str">
        <f>"14:43:17.256"</f>
        <v>14:43:17.256</v>
      </c>
      <c r="U185" t="str">
        <f t="shared" si="6"/>
        <v>A0F928</v>
      </c>
      <c r="V185">
        <v>0</v>
      </c>
      <c r="W185">
        <v>0</v>
      </c>
      <c r="X185">
        <v>2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1</v>
      </c>
      <c r="AI185" t="s">
        <v>218</v>
      </c>
      <c r="AJ185">
        <v>35.773071999999999</v>
      </c>
      <c r="AK185" t="s">
        <v>219</v>
      </c>
      <c r="AL185">
        <v>-83.999834000000007</v>
      </c>
      <c r="AM185">
        <v>25</v>
      </c>
      <c r="AN185">
        <v>1725</v>
      </c>
      <c r="AO185" t="s">
        <v>118</v>
      </c>
      <c r="AP185">
        <v>137</v>
      </c>
      <c r="AQ185">
        <v>-11</v>
      </c>
      <c r="AR185">
        <v>-512</v>
      </c>
      <c r="AZ185">
        <v>300</v>
      </c>
      <c r="BA185">
        <v>1</v>
      </c>
      <c r="BB185" t="str">
        <f t="shared" si="8"/>
        <v xml:space="preserve">N162AM  </v>
      </c>
      <c r="BC185">
        <v>1</v>
      </c>
      <c r="BE185">
        <v>0</v>
      </c>
      <c r="BF185">
        <v>0</v>
      </c>
      <c r="BG185">
        <v>0</v>
      </c>
      <c r="BH185">
        <v>2025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>"14:43:17.661"</f>
        <v>14:43:17.661</v>
      </c>
      <c r="CJ185">
        <v>3</v>
      </c>
      <c r="CK185">
        <v>2</v>
      </c>
      <c r="CL185">
        <v>0</v>
      </c>
      <c r="CM185">
        <v>2</v>
      </c>
      <c r="CN185">
        <v>0</v>
      </c>
      <c r="CO185">
        <v>5</v>
      </c>
      <c r="CP185" t="s">
        <v>119</v>
      </c>
      <c r="CQ185">
        <v>232</v>
      </c>
      <c r="CR185">
        <v>2</v>
      </c>
      <c r="CW185">
        <v>6079304</v>
      </c>
      <c r="CY185">
        <v>1</v>
      </c>
      <c r="CZ185">
        <v>0</v>
      </c>
      <c r="DA185">
        <v>1</v>
      </c>
      <c r="DB185">
        <v>0</v>
      </c>
      <c r="DC185">
        <v>0</v>
      </c>
      <c r="DD185">
        <v>1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"12/16/2021 14:43:17.896"</f>
        <v>12/16/2021 14:43:17.896</v>
      </c>
      <c r="C186" t="str">
        <f t="shared" si="7"/>
        <v>FFDFD3C0</v>
      </c>
      <c r="D186" t="s">
        <v>124</v>
      </c>
      <c r="E186">
        <v>5</v>
      </c>
      <c r="F186">
        <v>1005</v>
      </c>
      <c r="G186" t="s">
        <v>114</v>
      </c>
      <c r="J186" t="s">
        <v>125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"14:43:17.656"</f>
        <v>14:43:17.656</v>
      </c>
      <c r="T186" t="str">
        <f>"14:43:17.256"</f>
        <v>14:43:17.256</v>
      </c>
      <c r="U186" t="str">
        <f t="shared" si="6"/>
        <v>A0F928</v>
      </c>
      <c r="V186">
        <v>0</v>
      </c>
      <c r="W186">
        <v>0</v>
      </c>
      <c r="X186">
        <v>2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1</v>
      </c>
      <c r="AI186" t="s">
        <v>218</v>
      </c>
      <c r="AJ186">
        <v>35.773071999999999</v>
      </c>
      <c r="AK186" t="s">
        <v>219</v>
      </c>
      <c r="AL186">
        <v>-83.999834000000007</v>
      </c>
      <c r="AM186">
        <v>25</v>
      </c>
      <c r="AN186">
        <v>1725</v>
      </c>
      <c r="AO186" t="s">
        <v>118</v>
      </c>
      <c r="AP186">
        <v>137</v>
      </c>
      <c r="AQ186">
        <v>-11</v>
      </c>
      <c r="AR186">
        <v>-512</v>
      </c>
      <c r="AZ186">
        <v>300</v>
      </c>
      <c r="BA186">
        <v>1</v>
      </c>
      <c r="BB186" t="str">
        <f t="shared" si="8"/>
        <v xml:space="preserve">N162AM  </v>
      </c>
      <c r="BC186">
        <v>1</v>
      </c>
      <c r="BE186">
        <v>0</v>
      </c>
      <c r="BF186">
        <v>0</v>
      </c>
      <c r="BG186">
        <v>0</v>
      </c>
      <c r="BH186">
        <v>2025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>"14:43:17.661"</f>
        <v>14:43:17.661</v>
      </c>
      <c r="CJ186">
        <v>3</v>
      </c>
      <c r="CK186">
        <v>2</v>
      </c>
      <c r="CL186">
        <v>0</v>
      </c>
      <c r="CM186">
        <v>2</v>
      </c>
      <c r="CN186">
        <v>0</v>
      </c>
      <c r="CO186">
        <v>5</v>
      </c>
      <c r="CP186" t="s">
        <v>119</v>
      </c>
      <c r="CQ186">
        <v>232</v>
      </c>
      <c r="CR186">
        <v>2</v>
      </c>
      <c r="CW186">
        <v>6079304</v>
      </c>
      <c r="CY186">
        <v>1</v>
      </c>
      <c r="CZ186">
        <v>0</v>
      </c>
      <c r="DA186">
        <v>1</v>
      </c>
      <c r="DB186">
        <v>0</v>
      </c>
      <c r="DC186">
        <v>0</v>
      </c>
      <c r="DD186">
        <v>1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"12/16/2021 14:43:17.927"</f>
        <v>12/16/2021 14:43:17.927</v>
      </c>
      <c r="C187" t="str">
        <f t="shared" si="7"/>
        <v>FFDFD3C0</v>
      </c>
      <c r="D187" t="s">
        <v>113</v>
      </c>
      <c r="E187">
        <v>8</v>
      </c>
      <c r="H187">
        <v>176</v>
      </c>
      <c r="I187" t="s">
        <v>114</v>
      </c>
      <c r="J187" t="s">
        <v>115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"14:43:17.656"</f>
        <v>14:43:17.656</v>
      </c>
      <c r="T187" t="str">
        <f>"14:43:17.256"</f>
        <v>14:43:17.256</v>
      </c>
      <c r="U187" t="str">
        <f t="shared" si="6"/>
        <v>A0F928</v>
      </c>
      <c r="V187">
        <v>0</v>
      </c>
      <c r="W187">
        <v>0</v>
      </c>
      <c r="X187">
        <v>2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1</v>
      </c>
      <c r="AI187" t="s">
        <v>218</v>
      </c>
      <c r="AJ187">
        <v>35.773071999999999</v>
      </c>
      <c r="AK187" t="s">
        <v>219</v>
      </c>
      <c r="AL187">
        <v>-83.999834000000007</v>
      </c>
      <c r="AM187">
        <v>25</v>
      </c>
      <c r="AN187">
        <v>1725</v>
      </c>
      <c r="AO187" t="s">
        <v>118</v>
      </c>
      <c r="AP187">
        <v>137</v>
      </c>
      <c r="AQ187">
        <v>-11</v>
      </c>
      <c r="AR187">
        <v>-512</v>
      </c>
      <c r="AZ187">
        <v>300</v>
      </c>
      <c r="BA187">
        <v>1</v>
      </c>
      <c r="BB187" t="str">
        <f t="shared" si="8"/>
        <v xml:space="preserve">N162AM  </v>
      </c>
      <c r="BC187">
        <v>1</v>
      </c>
      <c r="BE187">
        <v>0</v>
      </c>
      <c r="BF187">
        <v>0</v>
      </c>
      <c r="BG187">
        <v>0</v>
      </c>
      <c r="BH187">
        <v>2025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>"14:43:17.661"</f>
        <v>14:43:17.661</v>
      </c>
      <c r="CJ187">
        <v>3</v>
      </c>
      <c r="CK187">
        <v>2</v>
      </c>
      <c r="CL187">
        <v>0</v>
      </c>
      <c r="CM187">
        <v>2</v>
      </c>
      <c r="CN187">
        <v>0</v>
      </c>
      <c r="CO187">
        <v>5</v>
      </c>
      <c r="CP187" t="s">
        <v>119</v>
      </c>
      <c r="CQ187">
        <v>232</v>
      </c>
      <c r="CR187">
        <v>2</v>
      </c>
      <c r="CW187">
        <v>6079304</v>
      </c>
      <c r="CY187">
        <v>1</v>
      </c>
      <c r="CZ187">
        <v>0</v>
      </c>
      <c r="DA187">
        <v>1</v>
      </c>
      <c r="DB187">
        <v>0</v>
      </c>
      <c r="DC187">
        <v>0</v>
      </c>
      <c r="DD187">
        <v>1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"12/16/2021 14:43:18.974"</f>
        <v>12/16/2021 14:43:18.974</v>
      </c>
      <c r="C188" t="str">
        <f t="shared" si="7"/>
        <v>FFDFD3C0</v>
      </c>
      <c r="D188" t="s">
        <v>113</v>
      </c>
      <c r="E188">
        <v>8</v>
      </c>
      <c r="H188">
        <v>176</v>
      </c>
      <c r="I188" t="s">
        <v>114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"14:43:18.797"</f>
        <v>14:43:18.797</v>
      </c>
      <c r="T188" t="str">
        <f>"14:43:18.297"</f>
        <v>14:43:18.297</v>
      </c>
      <c r="U188" t="str">
        <f t="shared" si="6"/>
        <v>A0F928</v>
      </c>
      <c r="V188">
        <v>0</v>
      </c>
      <c r="W188">
        <v>0</v>
      </c>
      <c r="X188">
        <v>2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2</v>
      </c>
      <c r="AH188">
        <v>1</v>
      </c>
      <c r="AI188" t="s">
        <v>220</v>
      </c>
      <c r="AJ188">
        <v>35.773094</v>
      </c>
      <c r="AK188" t="s">
        <v>221</v>
      </c>
      <c r="AL188">
        <v>-83.998953999999998</v>
      </c>
      <c r="AM188">
        <v>25</v>
      </c>
      <c r="AN188">
        <v>1725</v>
      </c>
      <c r="AO188" t="s">
        <v>118</v>
      </c>
      <c r="AP188">
        <v>139</v>
      </c>
      <c r="AQ188">
        <v>-1</v>
      </c>
      <c r="AR188">
        <v>-640</v>
      </c>
      <c r="AZ188">
        <v>300</v>
      </c>
      <c r="BA188">
        <v>1</v>
      </c>
      <c r="BB188" t="str">
        <f t="shared" si="8"/>
        <v xml:space="preserve">N162AM  </v>
      </c>
      <c r="BC188">
        <v>1</v>
      </c>
      <c r="BE188">
        <v>0</v>
      </c>
      <c r="BF188">
        <v>0</v>
      </c>
      <c r="BG188">
        <v>0</v>
      </c>
      <c r="BH188">
        <v>2000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>"14:43:18.803"</f>
        <v>14:43:18.803</v>
      </c>
      <c r="CJ188">
        <v>3</v>
      </c>
      <c r="CK188">
        <v>2</v>
      </c>
      <c r="CL188">
        <v>0</v>
      </c>
      <c r="CM188">
        <v>2</v>
      </c>
      <c r="CN188">
        <v>0</v>
      </c>
      <c r="CO188">
        <v>2</v>
      </c>
      <c r="CP188" t="s">
        <v>119</v>
      </c>
      <c r="CQ188">
        <v>216</v>
      </c>
      <c r="CR188">
        <v>0</v>
      </c>
      <c r="CW188">
        <v>369767</v>
      </c>
      <c r="CY188">
        <v>1</v>
      </c>
      <c r="CZ188">
        <v>0</v>
      </c>
      <c r="DA188">
        <v>0</v>
      </c>
      <c r="DB188">
        <v>0</v>
      </c>
      <c r="DC188">
        <v>0</v>
      </c>
      <c r="DD188">
        <v>1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"12/16/2021 14:43:18.990"</f>
        <v>12/16/2021 14:43:18.990</v>
      </c>
      <c r="C189" t="str">
        <f t="shared" si="7"/>
        <v>FFDFD3C0</v>
      </c>
      <c r="D189" t="s">
        <v>133</v>
      </c>
      <c r="E189">
        <v>44</v>
      </c>
      <c r="H189">
        <v>131</v>
      </c>
      <c r="I189" t="s">
        <v>134</v>
      </c>
      <c r="J189" t="s">
        <v>135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"14:43:18.797"</f>
        <v>14:43:18.797</v>
      </c>
      <c r="T189" t="str">
        <f>"14:43:18.297"</f>
        <v>14:43:18.297</v>
      </c>
      <c r="U189" t="str">
        <f t="shared" si="6"/>
        <v>A0F928</v>
      </c>
      <c r="V189">
        <v>0</v>
      </c>
      <c r="W189">
        <v>0</v>
      </c>
      <c r="X189">
        <v>2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2</v>
      </c>
      <c r="AH189">
        <v>1</v>
      </c>
      <c r="AI189" t="s">
        <v>220</v>
      </c>
      <c r="AJ189">
        <v>35.773094</v>
      </c>
      <c r="AK189" t="s">
        <v>221</v>
      </c>
      <c r="AL189">
        <v>-83.998953999999998</v>
      </c>
      <c r="AM189">
        <v>25</v>
      </c>
      <c r="AN189">
        <v>1725</v>
      </c>
      <c r="AO189" t="s">
        <v>118</v>
      </c>
      <c r="AP189">
        <v>139</v>
      </c>
      <c r="AQ189">
        <v>-1</v>
      </c>
      <c r="AR189">
        <v>-640</v>
      </c>
      <c r="AZ189">
        <v>300</v>
      </c>
      <c r="BA189">
        <v>1</v>
      </c>
      <c r="BB189" t="str">
        <f t="shared" si="8"/>
        <v xml:space="preserve">N162AM  </v>
      </c>
      <c r="BC189">
        <v>1</v>
      </c>
      <c r="BE189">
        <v>0</v>
      </c>
      <c r="BF189">
        <v>0</v>
      </c>
      <c r="BG189">
        <v>0</v>
      </c>
      <c r="BH189">
        <v>2000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>"14:43:18.803"</f>
        <v>14:43:18.803</v>
      </c>
      <c r="CJ189">
        <v>3</v>
      </c>
      <c r="CK189">
        <v>2</v>
      </c>
      <c r="CL189">
        <v>0</v>
      </c>
      <c r="CM189">
        <v>2</v>
      </c>
      <c r="CN189">
        <v>0</v>
      </c>
      <c r="CO189">
        <v>2</v>
      </c>
      <c r="CP189" t="s">
        <v>119</v>
      </c>
      <c r="CQ189">
        <v>216</v>
      </c>
      <c r="CR189">
        <v>0</v>
      </c>
      <c r="CW189">
        <v>369767</v>
      </c>
      <c r="CY189">
        <v>1</v>
      </c>
      <c r="CZ189">
        <v>0</v>
      </c>
      <c r="DA189">
        <v>1</v>
      </c>
      <c r="DB189">
        <v>0</v>
      </c>
      <c r="DC189">
        <v>0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"12/16/2021 14:43:18.990"</f>
        <v>12/16/2021 14:43:18.990</v>
      </c>
      <c r="C190" t="str">
        <f t="shared" si="7"/>
        <v>FFDFD3C0</v>
      </c>
      <c r="D190" t="s">
        <v>124</v>
      </c>
      <c r="E190">
        <v>5</v>
      </c>
      <c r="F190">
        <v>1005</v>
      </c>
      <c r="G190" t="s">
        <v>114</v>
      </c>
      <c r="J190" t="s">
        <v>125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"14:43:18.797"</f>
        <v>14:43:18.797</v>
      </c>
      <c r="T190" t="str">
        <f>"14:43:18.297"</f>
        <v>14:43:18.297</v>
      </c>
      <c r="U190" t="str">
        <f t="shared" si="6"/>
        <v>A0F928</v>
      </c>
      <c r="V190">
        <v>0</v>
      </c>
      <c r="W190">
        <v>0</v>
      </c>
      <c r="X190">
        <v>2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1</v>
      </c>
      <c r="AI190" t="s">
        <v>220</v>
      </c>
      <c r="AJ190">
        <v>35.773094</v>
      </c>
      <c r="AK190" t="s">
        <v>221</v>
      </c>
      <c r="AL190">
        <v>-83.998953999999998</v>
      </c>
      <c r="AM190">
        <v>25</v>
      </c>
      <c r="AN190">
        <v>1725</v>
      </c>
      <c r="AO190" t="s">
        <v>118</v>
      </c>
      <c r="AP190">
        <v>139</v>
      </c>
      <c r="AQ190">
        <v>-1</v>
      </c>
      <c r="AR190">
        <v>-640</v>
      </c>
      <c r="AZ190">
        <v>300</v>
      </c>
      <c r="BA190">
        <v>1</v>
      </c>
      <c r="BB190" t="str">
        <f t="shared" si="8"/>
        <v xml:space="preserve">N162AM  </v>
      </c>
      <c r="BC190">
        <v>1</v>
      </c>
      <c r="BE190">
        <v>0</v>
      </c>
      <c r="BF190">
        <v>0</v>
      </c>
      <c r="BG190">
        <v>0</v>
      </c>
      <c r="BH190">
        <v>2000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>"14:43:18.803"</f>
        <v>14:43:18.803</v>
      </c>
      <c r="CJ190">
        <v>3</v>
      </c>
      <c r="CK190">
        <v>2</v>
      </c>
      <c r="CL190">
        <v>0</v>
      </c>
      <c r="CM190">
        <v>2</v>
      </c>
      <c r="CN190">
        <v>0</v>
      </c>
      <c r="CO190">
        <v>2</v>
      </c>
      <c r="CP190" t="s">
        <v>119</v>
      </c>
      <c r="CQ190">
        <v>216</v>
      </c>
      <c r="CR190">
        <v>0</v>
      </c>
      <c r="CW190">
        <v>369767</v>
      </c>
      <c r="CY190">
        <v>1</v>
      </c>
      <c r="CZ190">
        <v>0</v>
      </c>
      <c r="DA190">
        <v>1</v>
      </c>
      <c r="DB190">
        <v>0</v>
      </c>
      <c r="DC190">
        <v>0</v>
      </c>
      <c r="DD190">
        <v>1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"12/16/2021 14:43:19.053"</f>
        <v>12/16/2021 14:43:19.053</v>
      </c>
      <c r="C191" t="str">
        <f t="shared" si="7"/>
        <v>FFDFD3C0</v>
      </c>
      <c r="D191" t="s">
        <v>124</v>
      </c>
      <c r="E191">
        <v>10</v>
      </c>
      <c r="F191">
        <v>1010</v>
      </c>
      <c r="G191" t="s">
        <v>130</v>
      </c>
      <c r="J191" t="s">
        <v>125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"14:43:18.797"</f>
        <v>14:43:18.797</v>
      </c>
      <c r="T191" t="str">
        <f>"14:43:18.297"</f>
        <v>14:43:18.297</v>
      </c>
      <c r="U191" t="str">
        <f t="shared" si="6"/>
        <v>A0F928</v>
      </c>
      <c r="V191">
        <v>0</v>
      </c>
      <c r="W191">
        <v>0</v>
      </c>
      <c r="X191">
        <v>2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1</v>
      </c>
      <c r="AI191" t="s">
        <v>220</v>
      </c>
      <c r="AJ191">
        <v>35.773094</v>
      </c>
      <c r="AK191" t="s">
        <v>221</v>
      </c>
      <c r="AL191">
        <v>-83.998953999999998</v>
      </c>
      <c r="AM191">
        <v>25</v>
      </c>
      <c r="AN191">
        <v>1725</v>
      </c>
      <c r="AO191" t="s">
        <v>118</v>
      </c>
      <c r="AP191">
        <v>139</v>
      </c>
      <c r="AQ191">
        <v>-1</v>
      </c>
      <c r="AR191">
        <v>-640</v>
      </c>
      <c r="AZ191">
        <v>300</v>
      </c>
      <c r="BA191">
        <v>1</v>
      </c>
      <c r="BB191" t="str">
        <f t="shared" si="8"/>
        <v xml:space="preserve">N162AM  </v>
      </c>
      <c r="BC191">
        <v>1</v>
      </c>
      <c r="BE191">
        <v>0</v>
      </c>
      <c r="BF191">
        <v>0</v>
      </c>
      <c r="BG191">
        <v>0</v>
      </c>
      <c r="BH191">
        <v>2000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>"14:43:18.803"</f>
        <v>14:43:18.803</v>
      </c>
      <c r="CJ191">
        <v>3</v>
      </c>
      <c r="CK191">
        <v>2</v>
      </c>
      <c r="CL191">
        <v>0</v>
      </c>
      <c r="CM191">
        <v>2</v>
      </c>
      <c r="CN191">
        <v>0</v>
      </c>
      <c r="CO191">
        <v>2</v>
      </c>
      <c r="CP191" t="s">
        <v>119</v>
      </c>
      <c r="CQ191">
        <v>216</v>
      </c>
      <c r="CR191">
        <v>0</v>
      </c>
      <c r="CW191">
        <v>369767</v>
      </c>
      <c r="CY191">
        <v>1</v>
      </c>
      <c r="CZ191">
        <v>0</v>
      </c>
      <c r="DA191">
        <v>1</v>
      </c>
      <c r="DB191">
        <v>0</v>
      </c>
      <c r="DC191">
        <v>0</v>
      </c>
      <c r="DD191">
        <v>1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"12/16/2021 14:43:20.536"</f>
        <v>12/16/2021 14:43:20.536</v>
      </c>
      <c r="C192" t="str">
        <f t="shared" si="7"/>
        <v>FFDFD3C0</v>
      </c>
      <c r="D192" t="s">
        <v>113</v>
      </c>
      <c r="E192">
        <v>8</v>
      </c>
      <c r="H192">
        <v>176</v>
      </c>
      <c r="I192" t="s">
        <v>114</v>
      </c>
      <c r="J192" t="s">
        <v>115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"14:43:20.352"</f>
        <v>14:43:20.352</v>
      </c>
      <c r="T192" t="str">
        <f>"14:43:19.952"</f>
        <v>14:43:19.952</v>
      </c>
      <c r="U192" t="str">
        <f t="shared" si="6"/>
        <v>A0F928</v>
      </c>
      <c r="V192">
        <v>0</v>
      </c>
      <c r="W192">
        <v>0</v>
      </c>
      <c r="X192">
        <v>2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1</v>
      </c>
      <c r="AI192" t="s">
        <v>222</v>
      </c>
      <c r="AJ192">
        <v>35.773180000000004</v>
      </c>
      <c r="AK192" t="s">
        <v>223</v>
      </c>
      <c r="AL192">
        <v>-83.997687999999997</v>
      </c>
      <c r="AM192">
        <v>25</v>
      </c>
      <c r="AN192">
        <v>1700</v>
      </c>
      <c r="AO192" t="s">
        <v>118</v>
      </c>
      <c r="AP192">
        <v>140</v>
      </c>
      <c r="AQ192">
        <v>13</v>
      </c>
      <c r="AR192">
        <v>-832</v>
      </c>
      <c r="AZ192">
        <v>300</v>
      </c>
      <c r="BA192">
        <v>1</v>
      </c>
      <c r="BB192" t="str">
        <f t="shared" si="8"/>
        <v xml:space="preserve">N162AM  </v>
      </c>
      <c r="BC192">
        <v>1</v>
      </c>
      <c r="BE192">
        <v>0</v>
      </c>
      <c r="BF192">
        <v>0</v>
      </c>
      <c r="BG192">
        <v>0</v>
      </c>
      <c r="BH192">
        <v>1975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>"14:43:20.353"</f>
        <v>14:43:20.353</v>
      </c>
      <c r="CJ192">
        <v>3</v>
      </c>
      <c r="CK192">
        <v>2</v>
      </c>
      <c r="CL192">
        <v>0</v>
      </c>
      <c r="CM192">
        <v>2</v>
      </c>
      <c r="CN192">
        <v>0</v>
      </c>
      <c r="CO192">
        <v>3</v>
      </c>
      <c r="CP192" t="s">
        <v>119</v>
      </c>
      <c r="CQ192">
        <v>232</v>
      </c>
      <c r="CR192">
        <v>2</v>
      </c>
      <c r="CW192">
        <v>6083301</v>
      </c>
      <c r="CY192">
        <v>1</v>
      </c>
      <c r="CZ192">
        <v>0</v>
      </c>
      <c r="DA192">
        <v>0</v>
      </c>
      <c r="DB192">
        <v>0</v>
      </c>
      <c r="DC192">
        <v>0</v>
      </c>
      <c r="DD192">
        <v>1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"12/16/2021 14:43:20.552"</f>
        <v>12/16/2021 14:43:20.552</v>
      </c>
      <c r="C193" t="str">
        <f t="shared" si="7"/>
        <v>FFDFD3C0</v>
      </c>
      <c r="D193" t="s">
        <v>124</v>
      </c>
      <c r="E193">
        <v>5</v>
      </c>
      <c r="F193">
        <v>1005</v>
      </c>
      <c r="G193" t="s">
        <v>114</v>
      </c>
      <c r="J193" t="s">
        <v>125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"14:43:20.352"</f>
        <v>14:43:20.352</v>
      </c>
      <c r="T193" t="str">
        <f>"14:43:19.952"</f>
        <v>14:43:19.952</v>
      </c>
      <c r="U193" t="str">
        <f t="shared" si="6"/>
        <v>A0F928</v>
      </c>
      <c r="V193">
        <v>0</v>
      </c>
      <c r="W193">
        <v>0</v>
      </c>
      <c r="X193">
        <v>2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1</v>
      </c>
      <c r="AI193" t="s">
        <v>222</v>
      </c>
      <c r="AJ193">
        <v>35.773180000000004</v>
      </c>
      <c r="AK193" t="s">
        <v>223</v>
      </c>
      <c r="AL193">
        <v>-83.997687999999997</v>
      </c>
      <c r="AM193">
        <v>25</v>
      </c>
      <c r="AN193">
        <v>1700</v>
      </c>
      <c r="AO193" t="s">
        <v>118</v>
      </c>
      <c r="AP193">
        <v>140</v>
      </c>
      <c r="AQ193">
        <v>13</v>
      </c>
      <c r="AR193">
        <v>-832</v>
      </c>
      <c r="AZ193">
        <v>300</v>
      </c>
      <c r="BA193">
        <v>1</v>
      </c>
      <c r="BB193" t="str">
        <f t="shared" si="8"/>
        <v xml:space="preserve">N162AM  </v>
      </c>
      <c r="BC193">
        <v>1</v>
      </c>
      <c r="BE193">
        <v>0</v>
      </c>
      <c r="BF193">
        <v>0</v>
      </c>
      <c r="BG193">
        <v>0</v>
      </c>
      <c r="BH193">
        <v>1975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>"14:43:20.353"</f>
        <v>14:43:20.353</v>
      </c>
      <c r="CJ193">
        <v>3</v>
      </c>
      <c r="CK193">
        <v>2</v>
      </c>
      <c r="CL193">
        <v>0</v>
      </c>
      <c r="CM193">
        <v>2</v>
      </c>
      <c r="CN193">
        <v>0</v>
      </c>
      <c r="CO193">
        <v>3</v>
      </c>
      <c r="CP193" t="s">
        <v>119</v>
      </c>
      <c r="CQ193">
        <v>232</v>
      </c>
      <c r="CR193">
        <v>2</v>
      </c>
      <c r="CW193">
        <v>6083301</v>
      </c>
      <c r="CY193">
        <v>1</v>
      </c>
      <c r="CZ193">
        <v>0</v>
      </c>
      <c r="DA193">
        <v>1</v>
      </c>
      <c r="DB193">
        <v>0</v>
      </c>
      <c r="DC193">
        <v>0</v>
      </c>
      <c r="DD193">
        <v>1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"12/16/2021 14:43:20.568"</f>
        <v>12/16/2021 14:43:20.568</v>
      </c>
      <c r="C194" t="str">
        <f t="shared" si="7"/>
        <v>FFDFD3C0</v>
      </c>
      <c r="D194" t="s">
        <v>133</v>
      </c>
      <c r="E194">
        <v>44</v>
      </c>
      <c r="H194">
        <v>131</v>
      </c>
      <c r="I194" t="s">
        <v>134</v>
      </c>
      <c r="J194" t="s">
        <v>135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"14:43:20.352"</f>
        <v>14:43:20.352</v>
      </c>
      <c r="T194" t="str">
        <f>"14:43:19.952"</f>
        <v>14:43:19.952</v>
      </c>
      <c r="U194" t="str">
        <f t="shared" ref="U194:U257" si="9">"A0F928"</f>
        <v>A0F928</v>
      </c>
      <c r="V194">
        <v>0</v>
      </c>
      <c r="W194">
        <v>0</v>
      </c>
      <c r="X194">
        <v>2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1</v>
      </c>
      <c r="AI194" t="s">
        <v>222</v>
      </c>
      <c r="AJ194">
        <v>35.773180000000004</v>
      </c>
      <c r="AK194" t="s">
        <v>223</v>
      </c>
      <c r="AL194">
        <v>-83.997687999999997</v>
      </c>
      <c r="AM194">
        <v>25</v>
      </c>
      <c r="AN194">
        <v>1700</v>
      </c>
      <c r="AO194" t="s">
        <v>118</v>
      </c>
      <c r="AP194">
        <v>140</v>
      </c>
      <c r="AQ194">
        <v>13</v>
      </c>
      <c r="AR194">
        <v>-832</v>
      </c>
      <c r="AZ194">
        <v>300</v>
      </c>
      <c r="BA194">
        <v>1</v>
      </c>
      <c r="BB194" t="str">
        <f t="shared" si="8"/>
        <v xml:space="preserve">N162AM  </v>
      </c>
      <c r="BC194">
        <v>1</v>
      </c>
      <c r="BE194">
        <v>0</v>
      </c>
      <c r="BF194">
        <v>0</v>
      </c>
      <c r="BG194">
        <v>0</v>
      </c>
      <c r="BH194">
        <v>1975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>"14:43:20.353"</f>
        <v>14:43:20.353</v>
      </c>
      <c r="CJ194">
        <v>3</v>
      </c>
      <c r="CK194">
        <v>2</v>
      </c>
      <c r="CL194">
        <v>0</v>
      </c>
      <c r="CM194">
        <v>2</v>
      </c>
      <c r="CN194">
        <v>0</v>
      </c>
      <c r="CO194">
        <v>3</v>
      </c>
      <c r="CP194" t="s">
        <v>119</v>
      </c>
      <c r="CQ194">
        <v>232</v>
      </c>
      <c r="CR194">
        <v>2</v>
      </c>
      <c r="CW194">
        <v>6083301</v>
      </c>
      <c r="CY194">
        <v>1</v>
      </c>
      <c r="CZ194">
        <v>0</v>
      </c>
      <c r="DA194">
        <v>1</v>
      </c>
      <c r="DB194">
        <v>0</v>
      </c>
      <c r="DC194">
        <v>0</v>
      </c>
      <c r="DD194">
        <v>1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"12/16/2021 14:43:20.583"</f>
        <v>12/16/2021 14:43:20.583</v>
      </c>
      <c r="C195" t="str">
        <f t="shared" si="7"/>
        <v>FFDFD3C0</v>
      </c>
      <c r="D195" t="s">
        <v>124</v>
      </c>
      <c r="E195">
        <v>10</v>
      </c>
      <c r="F195">
        <v>1010</v>
      </c>
      <c r="G195" t="s">
        <v>130</v>
      </c>
      <c r="J195" t="s">
        <v>125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"14:43:20.352"</f>
        <v>14:43:20.352</v>
      </c>
      <c r="T195" t="str">
        <f>"14:43:19.952"</f>
        <v>14:43:19.952</v>
      </c>
      <c r="U195" t="str">
        <f t="shared" si="9"/>
        <v>A0F928</v>
      </c>
      <c r="V195">
        <v>0</v>
      </c>
      <c r="W195">
        <v>0</v>
      </c>
      <c r="X195">
        <v>2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1</v>
      </c>
      <c r="AI195" t="s">
        <v>222</v>
      </c>
      <c r="AJ195">
        <v>35.773180000000004</v>
      </c>
      <c r="AK195" t="s">
        <v>223</v>
      </c>
      <c r="AL195">
        <v>-83.997687999999997</v>
      </c>
      <c r="AM195">
        <v>25</v>
      </c>
      <c r="AN195">
        <v>1700</v>
      </c>
      <c r="AO195" t="s">
        <v>118</v>
      </c>
      <c r="AP195">
        <v>140</v>
      </c>
      <c r="AQ195">
        <v>13</v>
      </c>
      <c r="AR195">
        <v>-832</v>
      </c>
      <c r="AZ195">
        <v>300</v>
      </c>
      <c r="BA195">
        <v>1</v>
      </c>
      <c r="BB195" t="str">
        <f t="shared" si="8"/>
        <v xml:space="preserve">N162AM  </v>
      </c>
      <c r="BC195">
        <v>1</v>
      </c>
      <c r="BE195">
        <v>0</v>
      </c>
      <c r="BF195">
        <v>0</v>
      </c>
      <c r="BG195">
        <v>0</v>
      </c>
      <c r="BH195">
        <v>1975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>"14:43:20.353"</f>
        <v>14:43:20.353</v>
      </c>
      <c r="CJ195">
        <v>3</v>
      </c>
      <c r="CK195">
        <v>2</v>
      </c>
      <c r="CL195">
        <v>0</v>
      </c>
      <c r="CM195">
        <v>2</v>
      </c>
      <c r="CN195">
        <v>0</v>
      </c>
      <c r="CO195">
        <v>3</v>
      </c>
      <c r="CP195" t="s">
        <v>119</v>
      </c>
      <c r="CQ195">
        <v>232</v>
      </c>
      <c r="CR195">
        <v>2</v>
      </c>
      <c r="CW195">
        <v>6083301</v>
      </c>
      <c r="CY195">
        <v>1</v>
      </c>
      <c r="CZ195">
        <v>0</v>
      </c>
      <c r="DA195">
        <v>1</v>
      </c>
      <c r="DB195">
        <v>0</v>
      </c>
      <c r="DC195">
        <v>0</v>
      </c>
      <c r="DD195">
        <v>1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"12/16/2021 14:43:21.552"</f>
        <v>12/16/2021 14:43:21.552</v>
      </c>
      <c r="C196" t="str">
        <f t="shared" si="7"/>
        <v>FFDFD3C0</v>
      </c>
      <c r="D196" t="s">
        <v>113</v>
      </c>
      <c r="E196">
        <v>8</v>
      </c>
      <c r="H196">
        <v>176</v>
      </c>
      <c r="I196" t="s">
        <v>114</v>
      </c>
      <c r="J196" t="s">
        <v>115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"14:43:21.336"</f>
        <v>14:43:21.336</v>
      </c>
      <c r="T196" t="str">
        <f>"14:43:20.936"</f>
        <v>14:43:20.936</v>
      </c>
      <c r="U196" t="str">
        <f t="shared" si="9"/>
        <v>A0F928</v>
      </c>
      <c r="V196">
        <v>0</v>
      </c>
      <c r="W196">
        <v>0</v>
      </c>
      <c r="X196">
        <v>2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2</v>
      </c>
      <c r="AH196">
        <v>1</v>
      </c>
      <c r="AI196" t="s">
        <v>214</v>
      </c>
      <c r="AJ196">
        <v>35.773243999999998</v>
      </c>
      <c r="AK196" t="s">
        <v>224</v>
      </c>
      <c r="AL196">
        <v>-83.996959000000004</v>
      </c>
      <c r="AM196">
        <v>25</v>
      </c>
      <c r="AN196">
        <v>1700</v>
      </c>
      <c r="AO196" t="s">
        <v>118</v>
      </c>
      <c r="AP196">
        <v>140</v>
      </c>
      <c r="AQ196">
        <v>22</v>
      </c>
      <c r="AR196">
        <v>-896</v>
      </c>
      <c r="AZ196">
        <v>300</v>
      </c>
      <c r="BA196">
        <v>1</v>
      </c>
      <c r="BB196" t="str">
        <f t="shared" si="8"/>
        <v xml:space="preserve">N162AM  </v>
      </c>
      <c r="BC196">
        <v>1</v>
      </c>
      <c r="BE196">
        <v>0</v>
      </c>
      <c r="BF196">
        <v>0</v>
      </c>
      <c r="BG196">
        <v>0</v>
      </c>
      <c r="BH196">
        <v>1950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>"14:43:21.337"</f>
        <v>14:43:21.337</v>
      </c>
      <c r="CJ196">
        <v>3</v>
      </c>
      <c r="CK196">
        <v>2</v>
      </c>
      <c r="CL196">
        <v>0</v>
      </c>
      <c r="CM196">
        <v>2</v>
      </c>
      <c r="CN196">
        <v>0</v>
      </c>
      <c r="CO196">
        <v>4</v>
      </c>
      <c r="CP196" t="s">
        <v>119</v>
      </c>
      <c r="CQ196">
        <v>232</v>
      </c>
      <c r="CR196">
        <v>1</v>
      </c>
      <c r="CW196">
        <v>14885999</v>
      </c>
      <c r="CY196">
        <v>1</v>
      </c>
      <c r="CZ196">
        <v>0</v>
      </c>
      <c r="DA196">
        <v>0</v>
      </c>
      <c r="DB196">
        <v>0</v>
      </c>
      <c r="DC196">
        <v>0</v>
      </c>
      <c r="DD196">
        <v>1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"12/16/2021 14:43:21.552"</f>
        <v>12/16/2021 14:43:21.552</v>
      </c>
      <c r="C197" t="str">
        <f t="shared" si="7"/>
        <v>FFDFD3C0</v>
      </c>
      <c r="D197" t="s">
        <v>124</v>
      </c>
      <c r="E197">
        <v>5</v>
      </c>
      <c r="F197">
        <v>1005</v>
      </c>
      <c r="G197" t="s">
        <v>114</v>
      </c>
      <c r="J197" t="s">
        <v>125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"14:43:21.336"</f>
        <v>14:43:21.336</v>
      </c>
      <c r="T197" t="str">
        <f>"14:43:20.936"</f>
        <v>14:43:20.936</v>
      </c>
      <c r="U197" t="str">
        <f t="shared" si="9"/>
        <v>A0F928</v>
      </c>
      <c r="V197">
        <v>0</v>
      </c>
      <c r="W197">
        <v>0</v>
      </c>
      <c r="X197">
        <v>2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2</v>
      </c>
      <c r="AH197">
        <v>1</v>
      </c>
      <c r="AI197" t="s">
        <v>214</v>
      </c>
      <c r="AJ197">
        <v>35.773243999999998</v>
      </c>
      <c r="AK197" t="s">
        <v>224</v>
      </c>
      <c r="AL197">
        <v>-83.996959000000004</v>
      </c>
      <c r="AM197">
        <v>25</v>
      </c>
      <c r="AN197">
        <v>1700</v>
      </c>
      <c r="AO197" t="s">
        <v>118</v>
      </c>
      <c r="AP197">
        <v>140</v>
      </c>
      <c r="AQ197">
        <v>22</v>
      </c>
      <c r="AR197">
        <v>-896</v>
      </c>
      <c r="AZ197">
        <v>300</v>
      </c>
      <c r="BA197">
        <v>1</v>
      </c>
      <c r="BB197" t="str">
        <f t="shared" si="8"/>
        <v xml:space="preserve">N162AM  </v>
      </c>
      <c r="BC197">
        <v>1</v>
      </c>
      <c r="BE197">
        <v>0</v>
      </c>
      <c r="BF197">
        <v>0</v>
      </c>
      <c r="BG197">
        <v>0</v>
      </c>
      <c r="BH197">
        <v>1950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>"14:43:21.337"</f>
        <v>14:43:21.337</v>
      </c>
      <c r="CJ197">
        <v>3</v>
      </c>
      <c r="CK197">
        <v>2</v>
      </c>
      <c r="CL197">
        <v>0</v>
      </c>
      <c r="CM197">
        <v>2</v>
      </c>
      <c r="CN197">
        <v>0</v>
      </c>
      <c r="CO197">
        <v>4</v>
      </c>
      <c r="CP197" t="s">
        <v>119</v>
      </c>
      <c r="CQ197">
        <v>232</v>
      </c>
      <c r="CR197">
        <v>1</v>
      </c>
      <c r="CW197">
        <v>14885999</v>
      </c>
      <c r="CY197">
        <v>1</v>
      </c>
      <c r="CZ197">
        <v>0</v>
      </c>
      <c r="DA197">
        <v>1</v>
      </c>
      <c r="DB197">
        <v>0</v>
      </c>
      <c r="DC197">
        <v>0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"12/16/2021 14:43:21.568"</f>
        <v>12/16/2021 14:43:21.568</v>
      </c>
      <c r="C198" t="str">
        <f t="shared" si="7"/>
        <v>FFDFD3C0</v>
      </c>
      <c r="D198" t="s">
        <v>133</v>
      </c>
      <c r="E198">
        <v>44</v>
      </c>
      <c r="H198">
        <v>131</v>
      </c>
      <c r="I198" t="s">
        <v>134</v>
      </c>
      <c r="J198" t="s">
        <v>135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"14:43:21.336"</f>
        <v>14:43:21.336</v>
      </c>
      <c r="T198" t="str">
        <f>"14:43:20.936"</f>
        <v>14:43:20.936</v>
      </c>
      <c r="U198" t="str">
        <f t="shared" si="9"/>
        <v>A0F928</v>
      </c>
      <c r="V198">
        <v>0</v>
      </c>
      <c r="W198">
        <v>0</v>
      </c>
      <c r="X198">
        <v>2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1</v>
      </c>
      <c r="AI198" t="s">
        <v>214</v>
      </c>
      <c r="AJ198">
        <v>35.773243999999998</v>
      </c>
      <c r="AK198" t="s">
        <v>224</v>
      </c>
      <c r="AL198">
        <v>-83.996959000000004</v>
      </c>
      <c r="AM198">
        <v>25</v>
      </c>
      <c r="AN198">
        <v>1700</v>
      </c>
      <c r="AO198" t="s">
        <v>118</v>
      </c>
      <c r="AP198">
        <v>140</v>
      </c>
      <c r="AQ198">
        <v>22</v>
      </c>
      <c r="AR198">
        <v>-896</v>
      </c>
      <c r="AZ198">
        <v>300</v>
      </c>
      <c r="BA198">
        <v>1</v>
      </c>
      <c r="BB198" t="str">
        <f t="shared" si="8"/>
        <v xml:space="preserve">N162AM  </v>
      </c>
      <c r="BC198">
        <v>1</v>
      </c>
      <c r="BE198">
        <v>0</v>
      </c>
      <c r="BF198">
        <v>0</v>
      </c>
      <c r="BG198">
        <v>0</v>
      </c>
      <c r="BH198">
        <v>1950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>"14:43:21.337"</f>
        <v>14:43:21.337</v>
      </c>
      <c r="CJ198">
        <v>3</v>
      </c>
      <c r="CK198">
        <v>2</v>
      </c>
      <c r="CL198">
        <v>0</v>
      </c>
      <c r="CM198">
        <v>2</v>
      </c>
      <c r="CN198">
        <v>0</v>
      </c>
      <c r="CO198">
        <v>4</v>
      </c>
      <c r="CP198" t="s">
        <v>119</v>
      </c>
      <c r="CQ198">
        <v>232</v>
      </c>
      <c r="CR198">
        <v>1</v>
      </c>
      <c r="CW198">
        <v>14885999</v>
      </c>
      <c r="CY198">
        <v>1</v>
      </c>
      <c r="CZ198">
        <v>0</v>
      </c>
      <c r="DA198">
        <v>1</v>
      </c>
      <c r="DB198">
        <v>0</v>
      </c>
      <c r="DC198">
        <v>0</v>
      </c>
      <c r="DD198">
        <v>1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"12/16/2021 14:43:21.583"</f>
        <v>12/16/2021 14:43:21.583</v>
      </c>
      <c r="C199" t="str">
        <f t="shared" si="7"/>
        <v>FFDFD3C0</v>
      </c>
      <c r="D199" t="s">
        <v>124</v>
      </c>
      <c r="E199">
        <v>10</v>
      </c>
      <c r="F199">
        <v>1010</v>
      </c>
      <c r="G199" t="s">
        <v>130</v>
      </c>
      <c r="J199" t="s">
        <v>125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"14:43:21.336"</f>
        <v>14:43:21.336</v>
      </c>
      <c r="T199" t="str">
        <f>"14:43:20.936"</f>
        <v>14:43:20.936</v>
      </c>
      <c r="U199" t="str">
        <f t="shared" si="9"/>
        <v>A0F928</v>
      </c>
      <c r="V199">
        <v>0</v>
      </c>
      <c r="W199">
        <v>0</v>
      </c>
      <c r="X199">
        <v>2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1</v>
      </c>
      <c r="AI199" t="s">
        <v>214</v>
      </c>
      <c r="AJ199">
        <v>35.773243999999998</v>
      </c>
      <c r="AK199" t="s">
        <v>224</v>
      </c>
      <c r="AL199">
        <v>-83.996959000000004</v>
      </c>
      <c r="AM199">
        <v>25</v>
      </c>
      <c r="AN199">
        <v>1700</v>
      </c>
      <c r="AO199" t="s">
        <v>118</v>
      </c>
      <c r="AP199">
        <v>140</v>
      </c>
      <c r="AQ199">
        <v>22</v>
      </c>
      <c r="AR199">
        <v>-896</v>
      </c>
      <c r="AZ199">
        <v>300</v>
      </c>
      <c r="BA199">
        <v>1</v>
      </c>
      <c r="BB199" t="str">
        <f t="shared" si="8"/>
        <v xml:space="preserve">N162AM  </v>
      </c>
      <c r="BC199">
        <v>1</v>
      </c>
      <c r="BE199">
        <v>0</v>
      </c>
      <c r="BF199">
        <v>0</v>
      </c>
      <c r="BG199">
        <v>0</v>
      </c>
      <c r="BH199">
        <v>1950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>"14:43:21.337"</f>
        <v>14:43:21.337</v>
      </c>
      <c r="CJ199">
        <v>3</v>
      </c>
      <c r="CK199">
        <v>2</v>
      </c>
      <c r="CL199">
        <v>0</v>
      </c>
      <c r="CM199">
        <v>2</v>
      </c>
      <c r="CN199">
        <v>0</v>
      </c>
      <c r="CO199">
        <v>4</v>
      </c>
      <c r="CP199" t="s">
        <v>119</v>
      </c>
      <c r="CQ199">
        <v>232</v>
      </c>
      <c r="CR199">
        <v>1</v>
      </c>
      <c r="CW199">
        <v>14885999</v>
      </c>
      <c r="CY199">
        <v>1</v>
      </c>
      <c r="CZ199">
        <v>0</v>
      </c>
      <c r="DA199">
        <v>1</v>
      </c>
      <c r="DB199">
        <v>0</v>
      </c>
      <c r="DC199">
        <v>0</v>
      </c>
      <c r="DD199">
        <v>1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"12/16/2021 14:43:22.584"</f>
        <v>12/16/2021 14:43:22.584</v>
      </c>
      <c r="C200" t="str">
        <f t="shared" si="7"/>
        <v>FFDFD3C0</v>
      </c>
      <c r="D200" t="s">
        <v>133</v>
      </c>
      <c r="E200">
        <v>44</v>
      </c>
      <c r="H200">
        <v>131</v>
      </c>
      <c r="I200" t="s">
        <v>134</v>
      </c>
      <c r="J200" t="s">
        <v>135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"14:43:22.383"</f>
        <v>14:43:22.383</v>
      </c>
      <c r="T200" t="str">
        <f>"14:43:21.383"</f>
        <v>14:43:21.383</v>
      </c>
      <c r="U200" t="str">
        <f t="shared" si="9"/>
        <v>A0F928</v>
      </c>
      <c r="V200">
        <v>0</v>
      </c>
      <c r="W200">
        <v>0</v>
      </c>
      <c r="X200">
        <v>2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1</v>
      </c>
      <c r="AI200" t="s">
        <v>225</v>
      </c>
      <c r="AJ200">
        <v>35.773457999999998</v>
      </c>
      <c r="AK200" t="s">
        <v>226</v>
      </c>
      <c r="AL200">
        <v>-83.996078999999995</v>
      </c>
      <c r="AM200">
        <v>25</v>
      </c>
      <c r="AN200">
        <v>1675</v>
      </c>
      <c r="AO200" t="s">
        <v>118</v>
      </c>
      <c r="AP200">
        <v>140</v>
      </c>
      <c r="AQ200">
        <v>25</v>
      </c>
      <c r="AR200">
        <v>-896</v>
      </c>
      <c r="AZ200">
        <v>300</v>
      </c>
      <c r="BA200">
        <v>1</v>
      </c>
      <c r="BB200" t="str">
        <f t="shared" si="8"/>
        <v xml:space="preserve">N162AM  </v>
      </c>
      <c r="BC200">
        <v>1</v>
      </c>
      <c r="BE200">
        <v>0</v>
      </c>
      <c r="BF200">
        <v>0</v>
      </c>
      <c r="BG200">
        <v>0</v>
      </c>
      <c r="BH200">
        <v>1950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>"14:43:22.389"</f>
        <v>14:43:22.389</v>
      </c>
      <c r="CJ200">
        <v>3</v>
      </c>
      <c r="CK200">
        <v>2</v>
      </c>
      <c r="CL200">
        <v>0</v>
      </c>
      <c r="CM200">
        <v>2</v>
      </c>
      <c r="CN200">
        <v>0</v>
      </c>
      <c r="CO200">
        <v>2</v>
      </c>
      <c r="CP200" t="s">
        <v>119</v>
      </c>
      <c r="CQ200">
        <v>216</v>
      </c>
      <c r="CR200">
        <v>0</v>
      </c>
      <c r="CW200">
        <v>374212</v>
      </c>
      <c r="CY200">
        <v>1</v>
      </c>
      <c r="CZ200">
        <v>0</v>
      </c>
      <c r="DA200">
        <v>0</v>
      </c>
      <c r="DB200">
        <v>0</v>
      </c>
      <c r="DC200">
        <v>0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"12/16/2021 14:43:22.584"</f>
        <v>12/16/2021 14:43:22.584</v>
      </c>
      <c r="C201" t="str">
        <f t="shared" si="7"/>
        <v>FFDFD3C0</v>
      </c>
      <c r="D201" t="s">
        <v>124</v>
      </c>
      <c r="E201">
        <v>10</v>
      </c>
      <c r="F201">
        <v>1010</v>
      </c>
      <c r="G201" t="s">
        <v>130</v>
      </c>
      <c r="J201" t="s">
        <v>125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"14:43:22.383"</f>
        <v>14:43:22.383</v>
      </c>
      <c r="T201" t="str">
        <f>"14:43:21.383"</f>
        <v>14:43:21.383</v>
      </c>
      <c r="U201" t="str">
        <f t="shared" si="9"/>
        <v>A0F928</v>
      </c>
      <c r="V201">
        <v>0</v>
      </c>
      <c r="W201">
        <v>0</v>
      </c>
      <c r="X201">
        <v>2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1</v>
      </c>
      <c r="AI201" t="s">
        <v>225</v>
      </c>
      <c r="AJ201">
        <v>35.773457999999998</v>
      </c>
      <c r="AK201" t="s">
        <v>226</v>
      </c>
      <c r="AL201">
        <v>-83.996078999999995</v>
      </c>
      <c r="AM201">
        <v>25</v>
      </c>
      <c r="AN201">
        <v>1675</v>
      </c>
      <c r="AO201" t="s">
        <v>118</v>
      </c>
      <c r="AP201">
        <v>140</v>
      </c>
      <c r="AQ201">
        <v>25</v>
      </c>
      <c r="AR201">
        <v>-896</v>
      </c>
      <c r="AZ201">
        <v>300</v>
      </c>
      <c r="BA201">
        <v>1</v>
      </c>
      <c r="BB201" t="str">
        <f t="shared" si="8"/>
        <v xml:space="preserve">N162AM  </v>
      </c>
      <c r="BC201">
        <v>1</v>
      </c>
      <c r="BE201">
        <v>0</v>
      </c>
      <c r="BF201">
        <v>0</v>
      </c>
      <c r="BG201">
        <v>0</v>
      </c>
      <c r="BH201">
        <v>1950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"14:43:22.389"</f>
        <v>14:43:22.389</v>
      </c>
      <c r="CJ201">
        <v>3</v>
      </c>
      <c r="CK201">
        <v>2</v>
      </c>
      <c r="CL201">
        <v>0</v>
      </c>
      <c r="CM201">
        <v>2</v>
      </c>
      <c r="CN201">
        <v>0</v>
      </c>
      <c r="CO201">
        <v>2</v>
      </c>
      <c r="CP201" t="s">
        <v>119</v>
      </c>
      <c r="CQ201">
        <v>216</v>
      </c>
      <c r="CR201">
        <v>0</v>
      </c>
      <c r="CW201">
        <v>374212</v>
      </c>
      <c r="CY201">
        <v>1</v>
      </c>
      <c r="CZ201">
        <v>0</v>
      </c>
      <c r="DA201">
        <v>1</v>
      </c>
      <c r="DB201">
        <v>0</v>
      </c>
      <c r="DC201">
        <v>0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"12/16/2021 14:43:22.615"</f>
        <v>12/16/2021 14:43:22.615</v>
      </c>
      <c r="C202" t="str">
        <f t="shared" si="7"/>
        <v>FFDFD3C0</v>
      </c>
      <c r="D202" t="s">
        <v>113</v>
      </c>
      <c r="E202">
        <v>8</v>
      </c>
      <c r="H202">
        <v>176</v>
      </c>
      <c r="I202" t="s">
        <v>114</v>
      </c>
      <c r="J202" t="s">
        <v>115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"14:43:22.383"</f>
        <v>14:43:22.383</v>
      </c>
      <c r="T202" t="str">
        <f>"14:43:21.383"</f>
        <v>14:43:21.383</v>
      </c>
      <c r="U202" t="str">
        <f t="shared" si="9"/>
        <v>A0F928</v>
      </c>
      <c r="V202">
        <v>0</v>
      </c>
      <c r="W202">
        <v>0</v>
      </c>
      <c r="X202">
        <v>2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1</v>
      </c>
      <c r="AI202" t="s">
        <v>225</v>
      </c>
      <c r="AJ202">
        <v>35.773457999999998</v>
      </c>
      <c r="AK202" t="s">
        <v>226</v>
      </c>
      <c r="AL202">
        <v>-83.996078999999995</v>
      </c>
      <c r="AM202">
        <v>25</v>
      </c>
      <c r="AN202">
        <v>1675</v>
      </c>
      <c r="AO202" t="s">
        <v>118</v>
      </c>
      <c r="AP202">
        <v>140</v>
      </c>
      <c r="AQ202">
        <v>25</v>
      </c>
      <c r="AR202">
        <v>-896</v>
      </c>
      <c r="AZ202">
        <v>300</v>
      </c>
      <c r="BA202">
        <v>1</v>
      </c>
      <c r="BB202" t="str">
        <f t="shared" si="8"/>
        <v xml:space="preserve">N162AM  </v>
      </c>
      <c r="BC202">
        <v>1</v>
      </c>
      <c r="BE202">
        <v>0</v>
      </c>
      <c r="BF202">
        <v>0</v>
      </c>
      <c r="BG202">
        <v>0</v>
      </c>
      <c r="BH202">
        <v>1950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"14:43:22.389"</f>
        <v>14:43:22.389</v>
      </c>
      <c r="CJ202">
        <v>3</v>
      </c>
      <c r="CK202">
        <v>2</v>
      </c>
      <c r="CL202">
        <v>0</v>
      </c>
      <c r="CM202">
        <v>2</v>
      </c>
      <c r="CN202">
        <v>0</v>
      </c>
      <c r="CO202">
        <v>2</v>
      </c>
      <c r="CP202" t="s">
        <v>119</v>
      </c>
      <c r="CQ202">
        <v>216</v>
      </c>
      <c r="CR202">
        <v>0</v>
      </c>
      <c r="CW202">
        <v>374212</v>
      </c>
      <c r="CY202">
        <v>1</v>
      </c>
      <c r="CZ202">
        <v>0</v>
      </c>
      <c r="DA202">
        <v>1</v>
      </c>
      <c r="DB202">
        <v>0</v>
      </c>
      <c r="DC202">
        <v>0</v>
      </c>
      <c r="DD202">
        <v>1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"12/16/2021 14:43:22.615"</f>
        <v>12/16/2021 14:43:22.615</v>
      </c>
      <c r="C203" t="str">
        <f t="shared" si="7"/>
        <v>FFDFD3C0</v>
      </c>
      <c r="D203" t="s">
        <v>124</v>
      </c>
      <c r="E203">
        <v>5</v>
      </c>
      <c r="F203">
        <v>1005</v>
      </c>
      <c r="G203" t="s">
        <v>114</v>
      </c>
      <c r="J203" t="s">
        <v>125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"14:43:22.383"</f>
        <v>14:43:22.383</v>
      </c>
      <c r="T203" t="str">
        <f>"14:43:21.383"</f>
        <v>14:43:21.383</v>
      </c>
      <c r="U203" t="str">
        <f t="shared" si="9"/>
        <v>A0F928</v>
      </c>
      <c r="V203">
        <v>0</v>
      </c>
      <c r="W203">
        <v>0</v>
      </c>
      <c r="X203">
        <v>2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2</v>
      </c>
      <c r="AH203">
        <v>1</v>
      </c>
      <c r="AI203" t="s">
        <v>225</v>
      </c>
      <c r="AJ203">
        <v>35.773457999999998</v>
      </c>
      <c r="AK203" t="s">
        <v>226</v>
      </c>
      <c r="AL203">
        <v>-83.996078999999995</v>
      </c>
      <c r="AM203">
        <v>25</v>
      </c>
      <c r="AN203">
        <v>1675</v>
      </c>
      <c r="AO203" t="s">
        <v>118</v>
      </c>
      <c r="AP203">
        <v>140</v>
      </c>
      <c r="AQ203">
        <v>25</v>
      </c>
      <c r="AR203">
        <v>-896</v>
      </c>
      <c r="AZ203">
        <v>300</v>
      </c>
      <c r="BA203">
        <v>1</v>
      </c>
      <c r="BB203" t="str">
        <f t="shared" si="8"/>
        <v xml:space="preserve">N162AM  </v>
      </c>
      <c r="BC203">
        <v>1</v>
      </c>
      <c r="BE203">
        <v>0</v>
      </c>
      <c r="BF203">
        <v>0</v>
      </c>
      <c r="BG203">
        <v>0</v>
      </c>
      <c r="BH203">
        <v>1950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"14:43:22.389"</f>
        <v>14:43:22.389</v>
      </c>
      <c r="CJ203">
        <v>3</v>
      </c>
      <c r="CK203">
        <v>2</v>
      </c>
      <c r="CL203">
        <v>0</v>
      </c>
      <c r="CM203">
        <v>2</v>
      </c>
      <c r="CN203">
        <v>0</v>
      </c>
      <c r="CO203">
        <v>2</v>
      </c>
      <c r="CP203" t="s">
        <v>119</v>
      </c>
      <c r="CQ203">
        <v>216</v>
      </c>
      <c r="CR203">
        <v>0</v>
      </c>
      <c r="CW203">
        <v>374212</v>
      </c>
      <c r="CY203">
        <v>1</v>
      </c>
      <c r="CZ203">
        <v>0</v>
      </c>
      <c r="DA203">
        <v>1</v>
      </c>
      <c r="DB203">
        <v>0</v>
      </c>
      <c r="DC203">
        <v>0</v>
      </c>
      <c r="DD203">
        <v>1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"12/16/2021 14:43:23.630"</f>
        <v>12/16/2021 14:43:23.630</v>
      </c>
      <c r="C204" t="str">
        <f t="shared" ref="C204:C267" si="10">"FFDFD3C0"</f>
        <v>FFDFD3C0</v>
      </c>
      <c r="D204" t="s">
        <v>113</v>
      </c>
      <c r="E204">
        <v>8</v>
      </c>
      <c r="H204">
        <v>176</v>
      </c>
      <c r="I204" t="s">
        <v>114</v>
      </c>
      <c r="J204" t="s">
        <v>115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"14:43:23.422"</f>
        <v>14:43:23.422</v>
      </c>
      <c r="T204" t="str">
        <f>"14:43:22.422"</f>
        <v>14:43:22.422</v>
      </c>
      <c r="U204" t="str">
        <f t="shared" si="9"/>
        <v>A0F928</v>
      </c>
      <c r="V204">
        <v>0</v>
      </c>
      <c r="W204">
        <v>0</v>
      </c>
      <c r="X204">
        <v>2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1</v>
      </c>
      <c r="AI204" t="s">
        <v>210</v>
      </c>
      <c r="AJ204">
        <v>35.773629999999997</v>
      </c>
      <c r="AK204" t="s">
        <v>227</v>
      </c>
      <c r="AL204">
        <v>-83.995349000000004</v>
      </c>
      <c r="AM204">
        <v>25</v>
      </c>
      <c r="AN204">
        <v>1650</v>
      </c>
      <c r="AO204" t="s">
        <v>118</v>
      </c>
      <c r="AP204">
        <v>139</v>
      </c>
      <c r="AQ204">
        <v>34</v>
      </c>
      <c r="AR204">
        <v>-960</v>
      </c>
      <c r="AZ204">
        <v>300</v>
      </c>
      <c r="BA204">
        <v>1</v>
      </c>
      <c r="BB204" t="str">
        <f t="shared" ref="BB204:BB267" si="11">"N162AM  "</f>
        <v xml:space="preserve">N162AM  </v>
      </c>
      <c r="BC204">
        <v>1</v>
      </c>
      <c r="BE204">
        <v>0</v>
      </c>
      <c r="BF204">
        <v>0</v>
      </c>
      <c r="BG204">
        <v>0</v>
      </c>
      <c r="BH204">
        <v>1925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"14:43:23.426"</f>
        <v>14:43:23.426</v>
      </c>
      <c r="CJ204">
        <v>3</v>
      </c>
      <c r="CK204">
        <v>2</v>
      </c>
      <c r="CL204">
        <v>0</v>
      </c>
      <c r="CM204">
        <v>2</v>
      </c>
      <c r="CN204">
        <v>0</v>
      </c>
      <c r="CO204">
        <v>2</v>
      </c>
      <c r="CP204" t="s">
        <v>119</v>
      </c>
      <c r="CQ204">
        <v>216</v>
      </c>
      <c r="CR204">
        <v>1</v>
      </c>
      <c r="CW204">
        <v>1432288</v>
      </c>
      <c r="CY204">
        <v>1</v>
      </c>
      <c r="CZ204">
        <v>0</v>
      </c>
      <c r="DA204">
        <v>0</v>
      </c>
      <c r="DB204">
        <v>0</v>
      </c>
      <c r="DC204">
        <v>0</v>
      </c>
      <c r="DD204">
        <v>1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"12/16/2021 14:43:23.630"</f>
        <v>12/16/2021 14:43:23.630</v>
      </c>
      <c r="C205" t="str">
        <f t="shared" si="10"/>
        <v>FFDFD3C0</v>
      </c>
      <c r="D205" t="s">
        <v>124</v>
      </c>
      <c r="E205">
        <v>5</v>
      </c>
      <c r="F205">
        <v>1005</v>
      </c>
      <c r="G205" t="s">
        <v>114</v>
      </c>
      <c r="J205" t="s">
        <v>125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"14:43:23.422"</f>
        <v>14:43:23.422</v>
      </c>
      <c r="T205" t="str">
        <f>"14:43:22.422"</f>
        <v>14:43:22.422</v>
      </c>
      <c r="U205" t="str">
        <f t="shared" si="9"/>
        <v>A0F928</v>
      </c>
      <c r="V205">
        <v>0</v>
      </c>
      <c r="W205">
        <v>0</v>
      </c>
      <c r="X205">
        <v>2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2</v>
      </c>
      <c r="AH205">
        <v>1</v>
      </c>
      <c r="AI205" t="s">
        <v>210</v>
      </c>
      <c r="AJ205">
        <v>35.773629999999997</v>
      </c>
      <c r="AK205" t="s">
        <v>227</v>
      </c>
      <c r="AL205">
        <v>-83.995349000000004</v>
      </c>
      <c r="AM205">
        <v>25</v>
      </c>
      <c r="AN205">
        <v>1650</v>
      </c>
      <c r="AO205" t="s">
        <v>118</v>
      </c>
      <c r="AP205">
        <v>139</v>
      </c>
      <c r="AQ205">
        <v>34</v>
      </c>
      <c r="AR205">
        <v>-960</v>
      </c>
      <c r="AZ205">
        <v>300</v>
      </c>
      <c r="BA205">
        <v>1</v>
      </c>
      <c r="BB205" t="str">
        <f t="shared" si="11"/>
        <v xml:space="preserve">N162AM  </v>
      </c>
      <c r="BC205">
        <v>1</v>
      </c>
      <c r="BE205">
        <v>0</v>
      </c>
      <c r="BF205">
        <v>0</v>
      </c>
      <c r="BG205">
        <v>0</v>
      </c>
      <c r="BH205">
        <v>1925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"14:43:23.426"</f>
        <v>14:43:23.426</v>
      </c>
      <c r="CJ205">
        <v>3</v>
      </c>
      <c r="CK205">
        <v>2</v>
      </c>
      <c r="CL205">
        <v>0</v>
      </c>
      <c r="CM205">
        <v>2</v>
      </c>
      <c r="CN205">
        <v>0</v>
      </c>
      <c r="CO205">
        <v>2</v>
      </c>
      <c r="CP205" t="s">
        <v>119</v>
      </c>
      <c r="CQ205">
        <v>216</v>
      </c>
      <c r="CR205">
        <v>1</v>
      </c>
      <c r="CW205">
        <v>1432288</v>
      </c>
      <c r="CY205">
        <v>1</v>
      </c>
      <c r="CZ205">
        <v>0</v>
      </c>
      <c r="DA205">
        <v>1</v>
      </c>
      <c r="DB205">
        <v>0</v>
      </c>
      <c r="DC205">
        <v>0</v>
      </c>
      <c r="DD205">
        <v>1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"12/16/2021 14:43:23.662"</f>
        <v>12/16/2021 14:43:23.662</v>
      </c>
      <c r="C206" t="str">
        <f t="shared" si="10"/>
        <v>FFDFD3C0</v>
      </c>
      <c r="D206" t="s">
        <v>124</v>
      </c>
      <c r="E206">
        <v>10</v>
      </c>
      <c r="F206">
        <v>1010</v>
      </c>
      <c r="G206" t="s">
        <v>130</v>
      </c>
      <c r="J206" t="s">
        <v>125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"14:43:23.422"</f>
        <v>14:43:23.422</v>
      </c>
      <c r="T206" t="str">
        <f>"14:43:22.422"</f>
        <v>14:43:22.422</v>
      </c>
      <c r="U206" t="str">
        <f t="shared" si="9"/>
        <v>A0F928</v>
      </c>
      <c r="V206">
        <v>0</v>
      </c>
      <c r="W206">
        <v>0</v>
      </c>
      <c r="X206">
        <v>2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1</v>
      </c>
      <c r="AI206" t="s">
        <v>210</v>
      </c>
      <c r="AJ206">
        <v>35.773629999999997</v>
      </c>
      <c r="AK206" t="s">
        <v>227</v>
      </c>
      <c r="AL206">
        <v>-83.995349000000004</v>
      </c>
      <c r="AM206">
        <v>25</v>
      </c>
      <c r="AN206">
        <v>1650</v>
      </c>
      <c r="AO206" t="s">
        <v>118</v>
      </c>
      <c r="AP206">
        <v>139</v>
      </c>
      <c r="AQ206">
        <v>34</v>
      </c>
      <c r="AR206">
        <v>-960</v>
      </c>
      <c r="AZ206">
        <v>300</v>
      </c>
      <c r="BA206">
        <v>1</v>
      </c>
      <c r="BB206" t="str">
        <f t="shared" si="11"/>
        <v xml:space="preserve">N162AM  </v>
      </c>
      <c r="BC206">
        <v>1</v>
      </c>
      <c r="BE206">
        <v>0</v>
      </c>
      <c r="BF206">
        <v>0</v>
      </c>
      <c r="BG206">
        <v>0</v>
      </c>
      <c r="BH206">
        <v>1925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"14:43:23.426"</f>
        <v>14:43:23.426</v>
      </c>
      <c r="CJ206">
        <v>3</v>
      </c>
      <c r="CK206">
        <v>2</v>
      </c>
      <c r="CL206">
        <v>0</v>
      </c>
      <c r="CM206">
        <v>2</v>
      </c>
      <c r="CN206">
        <v>0</v>
      </c>
      <c r="CO206">
        <v>2</v>
      </c>
      <c r="CP206" t="s">
        <v>119</v>
      </c>
      <c r="CQ206">
        <v>216</v>
      </c>
      <c r="CR206">
        <v>1</v>
      </c>
      <c r="CW206">
        <v>1432288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1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"12/16/2021 14:43:23.662"</f>
        <v>12/16/2021 14:43:23.662</v>
      </c>
      <c r="C207" t="str">
        <f t="shared" si="10"/>
        <v>FFDFD3C0</v>
      </c>
      <c r="D207" t="s">
        <v>133</v>
      </c>
      <c r="E207">
        <v>44</v>
      </c>
      <c r="H207">
        <v>131</v>
      </c>
      <c r="I207" t="s">
        <v>134</v>
      </c>
      <c r="J207" t="s">
        <v>135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"14:43:23.422"</f>
        <v>14:43:23.422</v>
      </c>
      <c r="T207" t="str">
        <f>"14:43:22.422"</f>
        <v>14:43:22.422</v>
      </c>
      <c r="U207" t="str">
        <f t="shared" si="9"/>
        <v>A0F928</v>
      </c>
      <c r="V207">
        <v>0</v>
      </c>
      <c r="W207">
        <v>0</v>
      </c>
      <c r="X207">
        <v>2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1</v>
      </c>
      <c r="AI207" t="s">
        <v>210</v>
      </c>
      <c r="AJ207">
        <v>35.773629999999997</v>
      </c>
      <c r="AK207" t="s">
        <v>227</v>
      </c>
      <c r="AL207">
        <v>-83.995349000000004</v>
      </c>
      <c r="AM207">
        <v>25</v>
      </c>
      <c r="AN207">
        <v>1650</v>
      </c>
      <c r="AO207" t="s">
        <v>118</v>
      </c>
      <c r="AP207">
        <v>139</v>
      </c>
      <c r="AQ207">
        <v>34</v>
      </c>
      <c r="AR207">
        <v>-960</v>
      </c>
      <c r="AZ207">
        <v>300</v>
      </c>
      <c r="BA207">
        <v>1</v>
      </c>
      <c r="BB207" t="str">
        <f t="shared" si="11"/>
        <v xml:space="preserve">N162AM  </v>
      </c>
      <c r="BC207">
        <v>1</v>
      </c>
      <c r="BE207">
        <v>0</v>
      </c>
      <c r="BF207">
        <v>0</v>
      </c>
      <c r="BG207">
        <v>0</v>
      </c>
      <c r="BH207">
        <v>1925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"14:43:23.426"</f>
        <v>14:43:23.426</v>
      </c>
      <c r="CJ207">
        <v>3</v>
      </c>
      <c r="CK207">
        <v>2</v>
      </c>
      <c r="CL207">
        <v>0</v>
      </c>
      <c r="CM207">
        <v>2</v>
      </c>
      <c r="CN207">
        <v>0</v>
      </c>
      <c r="CO207">
        <v>2</v>
      </c>
      <c r="CP207" t="s">
        <v>119</v>
      </c>
      <c r="CQ207">
        <v>216</v>
      </c>
      <c r="CR207">
        <v>1</v>
      </c>
      <c r="CW207">
        <v>1432288</v>
      </c>
      <c r="CY207">
        <v>1</v>
      </c>
      <c r="CZ207">
        <v>0</v>
      </c>
      <c r="DA207">
        <v>1</v>
      </c>
      <c r="DB207">
        <v>0</v>
      </c>
      <c r="DC207">
        <v>0</v>
      </c>
      <c r="DD207">
        <v>1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"12/16/2021 14:43:24.591"</f>
        <v>12/16/2021 14:43:24.591</v>
      </c>
      <c r="C208" t="str">
        <f t="shared" si="10"/>
        <v>FFDFD3C0</v>
      </c>
      <c r="D208" t="s">
        <v>124</v>
      </c>
      <c r="E208">
        <v>10</v>
      </c>
      <c r="F208">
        <v>1010</v>
      </c>
      <c r="G208" t="s">
        <v>130</v>
      </c>
      <c r="J208" t="s">
        <v>125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"14:43:24.414"</f>
        <v>14:43:24.414</v>
      </c>
      <c r="T208" t="str">
        <f>"14:43:23.514"</f>
        <v>14:43:23.514</v>
      </c>
      <c r="U208" t="str">
        <f t="shared" si="9"/>
        <v>A0F928</v>
      </c>
      <c r="V208">
        <v>0</v>
      </c>
      <c r="W208">
        <v>0</v>
      </c>
      <c r="X208">
        <v>2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1</v>
      </c>
      <c r="AI208" t="s">
        <v>208</v>
      </c>
      <c r="AJ208">
        <v>35.773865999999998</v>
      </c>
      <c r="AK208" t="s">
        <v>228</v>
      </c>
      <c r="AL208">
        <v>-83.994534000000002</v>
      </c>
      <c r="AM208">
        <v>25</v>
      </c>
      <c r="AN208">
        <v>1650</v>
      </c>
      <c r="AO208" t="s">
        <v>118</v>
      </c>
      <c r="AP208">
        <v>138</v>
      </c>
      <c r="AQ208">
        <v>42</v>
      </c>
      <c r="AR208">
        <v>-960</v>
      </c>
      <c r="AZ208">
        <v>300</v>
      </c>
      <c r="BA208">
        <v>1</v>
      </c>
      <c r="BB208" t="str">
        <f t="shared" si="11"/>
        <v xml:space="preserve">N162AM  </v>
      </c>
      <c r="BC208">
        <v>1</v>
      </c>
      <c r="BE208">
        <v>0</v>
      </c>
      <c r="BF208">
        <v>0</v>
      </c>
      <c r="BG208">
        <v>0</v>
      </c>
      <c r="BH208">
        <v>1925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"14:43:24.419"</f>
        <v>14:43:24.419</v>
      </c>
      <c r="CJ208">
        <v>3</v>
      </c>
      <c r="CK208">
        <v>2</v>
      </c>
      <c r="CL208">
        <v>0</v>
      </c>
      <c r="CM208">
        <v>2</v>
      </c>
      <c r="CN208">
        <v>0</v>
      </c>
      <c r="CO208">
        <v>6</v>
      </c>
      <c r="CP208" t="s">
        <v>119</v>
      </c>
      <c r="CQ208">
        <v>232</v>
      </c>
      <c r="CR208">
        <v>1</v>
      </c>
      <c r="CW208">
        <v>14890869</v>
      </c>
      <c r="CY208">
        <v>1</v>
      </c>
      <c r="CZ208">
        <v>0</v>
      </c>
      <c r="DA208">
        <v>0</v>
      </c>
      <c r="DB208">
        <v>0</v>
      </c>
      <c r="DC208">
        <v>0</v>
      </c>
      <c r="DD208">
        <v>1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"12/16/2021 14:43:24.630"</f>
        <v>12/16/2021 14:43:24.630</v>
      </c>
      <c r="C209" t="str">
        <f t="shared" si="10"/>
        <v>FFDFD3C0</v>
      </c>
      <c r="D209" t="s">
        <v>133</v>
      </c>
      <c r="E209">
        <v>44</v>
      </c>
      <c r="H209">
        <v>131</v>
      </c>
      <c r="I209" t="s">
        <v>134</v>
      </c>
      <c r="J209" t="s">
        <v>135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"14:43:24.414"</f>
        <v>14:43:24.414</v>
      </c>
      <c r="T209" t="str">
        <f>"14:43:23.514"</f>
        <v>14:43:23.514</v>
      </c>
      <c r="U209" t="str">
        <f t="shared" si="9"/>
        <v>A0F928</v>
      </c>
      <c r="V209">
        <v>0</v>
      </c>
      <c r="W209">
        <v>0</v>
      </c>
      <c r="X209">
        <v>2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1</v>
      </c>
      <c r="AI209" t="s">
        <v>208</v>
      </c>
      <c r="AJ209">
        <v>35.773865999999998</v>
      </c>
      <c r="AK209" t="s">
        <v>228</v>
      </c>
      <c r="AL209">
        <v>-83.994534000000002</v>
      </c>
      <c r="AM209">
        <v>25</v>
      </c>
      <c r="AN209">
        <v>1650</v>
      </c>
      <c r="AO209" t="s">
        <v>118</v>
      </c>
      <c r="AP209">
        <v>138</v>
      </c>
      <c r="AQ209">
        <v>42</v>
      </c>
      <c r="AR209">
        <v>-960</v>
      </c>
      <c r="AZ209">
        <v>300</v>
      </c>
      <c r="BA209">
        <v>1</v>
      </c>
      <c r="BB209" t="str">
        <f t="shared" si="11"/>
        <v xml:space="preserve">N162AM  </v>
      </c>
      <c r="BC209">
        <v>1</v>
      </c>
      <c r="BE209">
        <v>0</v>
      </c>
      <c r="BF209">
        <v>0</v>
      </c>
      <c r="BG209">
        <v>0</v>
      </c>
      <c r="BH209">
        <v>1925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"14:43:24.419"</f>
        <v>14:43:24.419</v>
      </c>
      <c r="CJ209">
        <v>3</v>
      </c>
      <c r="CK209">
        <v>2</v>
      </c>
      <c r="CL209">
        <v>0</v>
      </c>
      <c r="CM209">
        <v>2</v>
      </c>
      <c r="CN209">
        <v>0</v>
      </c>
      <c r="CO209">
        <v>6</v>
      </c>
      <c r="CP209" t="s">
        <v>119</v>
      </c>
      <c r="CQ209">
        <v>232</v>
      </c>
      <c r="CR209">
        <v>1</v>
      </c>
      <c r="CW209">
        <v>14890869</v>
      </c>
      <c r="CY209">
        <v>1</v>
      </c>
      <c r="CZ209">
        <v>0</v>
      </c>
      <c r="DA209">
        <v>1</v>
      </c>
      <c r="DB209">
        <v>0</v>
      </c>
      <c r="DC209">
        <v>0</v>
      </c>
      <c r="DD209">
        <v>1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"12/16/2021 14:43:24.630"</f>
        <v>12/16/2021 14:43:24.630</v>
      </c>
      <c r="C210" t="str">
        <f t="shared" si="10"/>
        <v>FFDFD3C0</v>
      </c>
      <c r="D210" t="s">
        <v>124</v>
      </c>
      <c r="E210">
        <v>5</v>
      </c>
      <c r="F210">
        <v>1005</v>
      </c>
      <c r="G210" t="s">
        <v>114</v>
      </c>
      <c r="J210" t="s">
        <v>125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"14:43:24.414"</f>
        <v>14:43:24.414</v>
      </c>
      <c r="T210" t="str">
        <f>"14:43:23.514"</f>
        <v>14:43:23.514</v>
      </c>
      <c r="U210" t="str">
        <f t="shared" si="9"/>
        <v>A0F928</v>
      </c>
      <c r="V210">
        <v>0</v>
      </c>
      <c r="W210">
        <v>0</v>
      </c>
      <c r="X210">
        <v>2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1</v>
      </c>
      <c r="AI210" t="s">
        <v>208</v>
      </c>
      <c r="AJ210">
        <v>35.773865999999998</v>
      </c>
      <c r="AK210" t="s">
        <v>228</v>
      </c>
      <c r="AL210">
        <v>-83.994534000000002</v>
      </c>
      <c r="AM210">
        <v>25</v>
      </c>
      <c r="AN210">
        <v>1650</v>
      </c>
      <c r="AO210" t="s">
        <v>118</v>
      </c>
      <c r="AP210">
        <v>138</v>
      </c>
      <c r="AQ210">
        <v>42</v>
      </c>
      <c r="AR210">
        <v>-960</v>
      </c>
      <c r="AZ210">
        <v>300</v>
      </c>
      <c r="BA210">
        <v>1</v>
      </c>
      <c r="BB210" t="str">
        <f t="shared" si="11"/>
        <v xml:space="preserve">N162AM  </v>
      </c>
      <c r="BC210">
        <v>1</v>
      </c>
      <c r="BE210">
        <v>0</v>
      </c>
      <c r="BF210">
        <v>0</v>
      </c>
      <c r="BG210">
        <v>0</v>
      </c>
      <c r="BH210">
        <v>1925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"14:43:24.419"</f>
        <v>14:43:24.419</v>
      </c>
      <c r="CJ210">
        <v>3</v>
      </c>
      <c r="CK210">
        <v>2</v>
      </c>
      <c r="CL210">
        <v>0</v>
      </c>
      <c r="CM210">
        <v>2</v>
      </c>
      <c r="CN210">
        <v>0</v>
      </c>
      <c r="CO210">
        <v>6</v>
      </c>
      <c r="CP210" t="s">
        <v>119</v>
      </c>
      <c r="CQ210">
        <v>232</v>
      </c>
      <c r="CR210">
        <v>1</v>
      </c>
      <c r="CW210">
        <v>14890869</v>
      </c>
      <c r="CY210">
        <v>1</v>
      </c>
      <c r="CZ210">
        <v>0</v>
      </c>
      <c r="DA210">
        <v>1</v>
      </c>
      <c r="DB210">
        <v>0</v>
      </c>
      <c r="DC210">
        <v>0</v>
      </c>
      <c r="DD210">
        <v>1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"12/16/2021 14:43:24.630"</f>
        <v>12/16/2021 14:43:24.630</v>
      </c>
      <c r="C211" t="str">
        <f t="shared" si="10"/>
        <v>FFDFD3C0</v>
      </c>
      <c r="D211" t="s">
        <v>113</v>
      </c>
      <c r="E211">
        <v>8</v>
      </c>
      <c r="H211">
        <v>176</v>
      </c>
      <c r="I211" t="s">
        <v>114</v>
      </c>
      <c r="J211" t="s">
        <v>115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"14:43:24.414"</f>
        <v>14:43:24.414</v>
      </c>
      <c r="T211" t="str">
        <f>"14:43:23.514"</f>
        <v>14:43:23.514</v>
      </c>
      <c r="U211" t="str">
        <f t="shared" si="9"/>
        <v>A0F928</v>
      </c>
      <c r="V211">
        <v>0</v>
      </c>
      <c r="W211">
        <v>0</v>
      </c>
      <c r="X211">
        <v>2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1</v>
      </c>
      <c r="AI211" t="s">
        <v>208</v>
      </c>
      <c r="AJ211">
        <v>35.773865999999998</v>
      </c>
      <c r="AK211" t="s">
        <v>228</v>
      </c>
      <c r="AL211">
        <v>-83.994534000000002</v>
      </c>
      <c r="AM211">
        <v>25</v>
      </c>
      <c r="AN211">
        <v>1650</v>
      </c>
      <c r="AO211" t="s">
        <v>118</v>
      </c>
      <c r="AP211">
        <v>138</v>
      </c>
      <c r="AQ211">
        <v>42</v>
      </c>
      <c r="AR211">
        <v>-960</v>
      </c>
      <c r="AZ211">
        <v>300</v>
      </c>
      <c r="BA211">
        <v>1</v>
      </c>
      <c r="BB211" t="str">
        <f t="shared" si="11"/>
        <v xml:space="preserve">N162AM  </v>
      </c>
      <c r="BC211">
        <v>1</v>
      </c>
      <c r="BE211">
        <v>0</v>
      </c>
      <c r="BF211">
        <v>0</v>
      </c>
      <c r="BG211">
        <v>0</v>
      </c>
      <c r="BH211">
        <v>1925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"14:43:24.419"</f>
        <v>14:43:24.419</v>
      </c>
      <c r="CJ211">
        <v>3</v>
      </c>
      <c r="CK211">
        <v>2</v>
      </c>
      <c r="CL211">
        <v>0</v>
      </c>
      <c r="CM211">
        <v>2</v>
      </c>
      <c r="CN211">
        <v>0</v>
      </c>
      <c r="CO211">
        <v>6</v>
      </c>
      <c r="CP211" t="s">
        <v>119</v>
      </c>
      <c r="CQ211">
        <v>232</v>
      </c>
      <c r="CR211">
        <v>1</v>
      </c>
      <c r="CW211">
        <v>14890869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1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"12/16/2021 14:43:25.560"</f>
        <v>12/16/2021 14:43:25.560</v>
      </c>
      <c r="C212" t="str">
        <f t="shared" si="10"/>
        <v>FFDFD3C0</v>
      </c>
      <c r="D212" t="s">
        <v>113</v>
      </c>
      <c r="E212">
        <v>8</v>
      </c>
      <c r="H212">
        <v>176</v>
      </c>
      <c r="I212" t="s">
        <v>114</v>
      </c>
      <c r="J212" t="s">
        <v>115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"14:43:25.367"</f>
        <v>14:43:25.367</v>
      </c>
      <c r="T212" t="str">
        <f>"14:43:24.967"</f>
        <v>14:43:24.967</v>
      </c>
      <c r="U212" t="str">
        <f t="shared" si="9"/>
        <v>A0F928</v>
      </c>
      <c r="V212">
        <v>0</v>
      </c>
      <c r="W212">
        <v>0</v>
      </c>
      <c r="X212">
        <v>2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1</v>
      </c>
      <c r="AI212" t="s">
        <v>229</v>
      </c>
      <c r="AJ212">
        <v>35.774144999999997</v>
      </c>
      <c r="AK212" t="s">
        <v>230</v>
      </c>
      <c r="AL212">
        <v>-83.993740000000003</v>
      </c>
      <c r="AM212">
        <v>25</v>
      </c>
      <c r="AN212">
        <v>1625</v>
      </c>
      <c r="AO212" t="s">
        <v>118</v>
      </c>
      <c r="AP212">
        <v>135</v>
      </c>
      <c r="AQ212">
        <v>55</v>
      </c>
      <c r="AR212">
        <v>-768</v>
      </c>
      <c r="AZ212">
        <v>300</v>
      </c>
      <c r="BA212">
        <v>1</v>
      </c>
      <c r="BB212" t="str">
        <f t="shared" si="11"/>
        <v xml:space="preserve">N162AM  </v>
      </c>
      <c r="BC212">
        <v>1</v>
      </c>
      <c r="BE212">
        <v>0</v>
      </c>
      <c r="BF212">
        <v>0</v>
      </c>
      <c r="BG212">
        <v>0</v>
      </c>
      <c r="BH212">
        <v>1900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"14:43:25.374"</f>
        <v>14:43:25.374</v>
      </c>
      <c r="CJ212">
        <v>3</v>
      </c>
      <c r="CK212">
        <v>2</v>
      </c>
      <c r="CL212">
        <v>0</v>
      </c>
      <c r="CM212">
        <v>2</v>
      </c>
      <c r="CN212">
        <v>0</v>
      </c>
      <c r="CO212">
        <v>4</v>
      </c>
      <c r="CP212" t="s">
        <v>119</v>
      </c>
      <c r="CQ212">
        <v>232</v>
      </c>
      <c r="CR212">
        <v>1</v>
      </c>
      <c r="CW212">
        <v>14892433</v>
      </c>
      <c r="CY212">
        <v>1</v>
      </c>
      <c r="CZ212">
        <v>0</v>
      </c>
      <c r="DA212">
        <v>0</v>
      </c>
      <c r="DB212">
        <v>0</v>
      </c>
      <c r="DC212">
        <v>0</v>
      </c>
      <c r="DD212">
        <v>1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"12/16/2021 14:43:25.560"</f>
        <v>12/16/2021 14:43:25.560</v>
      </c>
      <c r="C213" t="str">
        <f t="shared" si="10"/>
        <v>FFDFD3C0</v>
      </c>
      <c r="D213" t="s">
        <v>124</v>
      </c>
      <c r="E213">
        <v>10</v>
      </c>
      <c r="F213">
        <v>1010</v>
      </c>
      <c r="G213" t="s">
        <v>130</v>
      </c>
      <c r="J213" t="s">
        <v>125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"14:43:25.367"</f>
        <v>14:43:25.367</v>
      </c>
      <c r="T213" t="str">
        <f>"14:43:24.967"</f>
        <v>14:43:24.967</v>
      </c>
      <c r="U213" t="str">
        <f t="shared" si="9"/>
        <v>A0F928</v>
      </c>
      <c r="V213">
        <v>0</v>
      </c>
      <c r="W213">
        <v>0</v>
      </c>
      <c r="X213">
        <v>2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1</v>
      </c>
      <c r="AI213" t="s">
        <v>229</v>
      </c>
      <c r="AJ213">
        <v>35.774144999999997</v>
      </c>
      <c r="AK213" t="s">
        <v>230</v>
      </c>
      <c r="AL213">
        <v>-83.993740000000003</v>
      </c>
      <c r="AM213">
        <v>25</v>
      </c>
      <c r="AN213">
        <v>1625</v>
      </c>
      <c r="AO213" t="s">
        <v>118</v>
      </c>
      <c r="AP213">
        <v>135</v>
      </c>
      <c r="AQ213">
        <v>55</v>
      </c>
      <c r="AR213">
        <v>-768</v>
      </c>
      <c r="AZ213">
        <v>300</v>
      </c>
      <c r="BA213">
        <v>1</v>
      </c>
      <c r="BB213" t="str">
        <f t="shared" si="11"/>
        <v xml:space="preserve">N162AM  </v>
      </c>
      <c r="BC213">
        <v>1</v>
      </c>
      <c r="BE213">
        <v>0</v>
      </c>
      <c r="BF213">
        <v>0</v>
      </c>
      <c r="BG213">
        <v>0</v>
      </c>
      <c r="BH213">
        <v>1900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"14:43:25.374"</f>
        <v>14:43:25.374</v>
      </c>
      <c r="CJ213">
        <v>3</v>
      </c>
      <c r="CK213">
        <v>2</v>
      </c>
      <c r="CL213">
        <v>0</v>
      </c>
      <c r="CM213">
        <v>2</v>
      </c>
      <c r="CN213">
        <v>0</v>
      </c>
      <c r="CO213">
        <v>4</v>
      </c>
      <c r="CP213" t="s">
        <v>119</v>
      </c>
      <c r="CQ213">
        <v>232</v>
      </c>
      <c r="CR213">
        <v>1</v>
      </c>
      <c r="CW213">
        <v>14892433</v>
      </c>
      <c r="CY213">
        <v>1</v>
      </c>
      <c r="CZ213">
        <v>0</v>
      </c>
      <c r="DA213">
        <v>1</v>
      </c>
      <c r="DB213">
        <v>0</v>
      </c>
      <c r="DC213">
        <v>0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"12/16/2021 14:43:25.560"</f>
        <v>12/16/2021 14:43:25.560</v>
      </c>
      <c r="C214" t="str">
        <f t="shared" si="10"/>
        <v>FFDFD3C0</v>
      </c>
      <c r="D214" t="s">
        <v>133</v>
      </c>
      <c r="E214">
        <v>44</v>
      </c>
      <c r="H214">
        <v>131</v>
      </c>
      <c r="I214" t="s">
        <v>134</v>
      </c>
      <c r="J214" t="s">
        <v>135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"14:43:25.367"</f>
        <v>14:43:25.367</v>
      </c>
      <c r="T214" t="str">
        <f>"14:43:24.967"</f>
        <v>14:43:24.967</v>
      </c>
      <c r="U214" t="str">
        <f t="shared" si="9"/>
        <v>A0F928</v>
      </c>
      <c r="V214">
        <v>0</v>
      </c>
      <c r="W214">
        <v>0</v>
      </c>
      <c r="X214">
        <v>2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1</v>
      </c>
      <c r="AI214" t="s">
        <v>229</v>
      </c>
      <c r="AJ214">
        <v>35.774144999999997</v>
      </c>
      <c r="AK214" t="s">
        <v>230</v>
      </c>
      <c r="AL214">
        <v>-83.993740000000003</v>
      </c>
      <c r="AM214">
        <v>25</v>
      </c>
      <c r="AN214">
        <v>1625</v>
      </c>
      <c r="AO214" t="s">
        <v>118</v>
      </c>
      <c r="AP214">
        <v>135</v>
      </c>
      <c r="AQ214">
        <v>55</v>
      </c>
      <c r="AR214">
        <v>-768</v>
      </c>
      <c r="AZ214">
        <v>300</v>
      </c>
      <c r="BA214">
        <v>1</v>
      </c>
      <c r="BB214" t="str">
        <f t="shared" si="11"/>
        <v xml:space="preserve">N162AM  </v>
      </c>
      <c r="BC214">
        <v>1</v>
      </c>
      <c r="BE214">
        <v>0</v>
      </c>
      <c r="BF214">
        <v>0</v>
      </c>
      <c r="BG214">
        <v>0</v>
      </c>
      <c r="BH214">
        <v>1900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"14:43:25.374"</f>
        <v>14:43:25.374</v>
      </c>
      <c r="CJ214">
        <v>3</v>
      </c>
      <c r="CK214">
        <v>2</v>
      </c>
      <c r="CL214">
        <v>0</v>
      </c>
      <c r="CM214">
        <v>2</v>
      </c>
      <c r="CN214">
        <v>0</v>
      </c>
      <c r="CO214">
        <v>4</v>
      </c>
      <c r="CP214" t="s">
        <v>119</v>
      </c>
      <c r="CQ214">
        <v>232</v>
      </c>
      <c r="CR214">
        <v>1</v>
      </c>
      <c r="CW214">
        <v>14892433</v>
      </c>
      <c r="CY214">
        <v>1</v>
      </c>
      <c r="CZ214">
        <v>0</v>
      </c>
      <c r="DA214">
        <v>1</v>
      </c>
      <c r="DB214">
        <v>0</v>
      </c>
      <c r="DC214">
        <v>0</v>
      </c>
      <c r="DD214">
        <v>1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"12/16/2021 14:43:25.591"</f>
        <v>12/16/2021 14:43:25.591</v>
      </c>
      <c r="C215" t="str">
        <f t="shared" si="10"/>
        <v>FFDFD3C0</v>
      </c>
      <c r="D215" t="s">
        <v>124</v>
      </c>
      <c r="E215">
        <v>5</v>
      </c>
      <c r="F215">
        <v>1005</v>
      </c>
      <c r="G215" t="s">
        <v>114</v>
      </c>
      <c r="J215" t="s">
        <v>125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"14:43:25.367"</f>
        <v>14:43:25.367</v>
      </c>
      <c r="T215" t="str">
        <f>"14:43:24.967"</f>
        <v>14:43:24.967</v>
      </c>
      <c r="U215" t="str">
        <f t="shared" si="9"/>
        <v>A0F928</v>
      </c>
      <c r="V215">
        <v>0</v>
      </c>
      <c r="W215">
        <v>0</v>
      </c>
      <c r="X215">
        <v>2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1</v>
      </c>
      <c r="AI215" t="s">
        <v>229</v>
      </c>
      <c r="AJ215">
        <v>35.774144999999997</v>
      </c>
      <c r="AK215" t="s">
        <v>230</v>
      </c>
      <c r="AL215">
        <v>-83.993740000000003</v>
      </c>
      <c r="AM215">
        <v>25</v>
      </c>
      <c r="AN215">
        <v>1625</v>
      </c>
      <c r="AO215" t="s">
        <v>118</v>
      </c>
      <c r="AP215">
        <v>135</v>
      </c>
      <c r="AQ215">
        <v>55</v>
      </c>
      <c r="AR215">
        <v>-768</v>
      </c>
      <c r="AZ215">
        <v>300</v>
      </c>
      <c r="BA215">
        <v>1</v>
      </c>
      <c r="BB215" t="str">
        <f t="shared" si="11"/>
        <v xml:space="preserve">N162AM  </v>
      </c>
      <c r="BC215">
        <v>1</v>
      </c>
      <c r="BE215">
        <v>0</v>
      </c>
      <c r="BF215">
        <v>0</v>
      </c>
      <c r="BG215">
        <v>0</v>
      </c>
      <c r="BH215">
        <v>1900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>"14:43:25.374"</f>
        <v>14:43:25.374</v>
      </c>
      <c r="CJ215">
        <v>3</v>
      </c>
      <c r="CK215">
        <v>2</v>
      </c>
      <c r="CL215">
        <v>0</v>
      </c>
      <c r="CM215">
        <v>2</v>
      </c>
      <c r="CN215">
        <v>0</v>
      </c>
      <c r="CO215">
        <v>4</v>
      </c>
      <c r="CP215" t="s">
        <v>119</v>
      </c>
      <c r="CQ215">
        <v>232</v>
      </c>
      <c r="CR215">
        <v>1</v>
      </c>
      <c r="CW215">
        <v>14892433</v>
      </c>
      <c r="CY215">
        <v>1</v>
      </c>
      <c r="CZ215">
        <v>0</v>
      </c>
      <c r="DA215">
        <v>1</v>
      </c>
      <c r="DB215">
        <v>0</v>
      </c>
      <c r="DC215">
        <v>0</v>
      </c>
      <c r="DD215">
        <v>1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"12/16/2021 14:43:26.716"</f>
        <v>12/16/2021 14:43:26.716</v>
      </c>
      <c r="C216" t="str">
        <f t="shared" si="10"/>
        <v>FFDFD3C0</v>
      </c>
      <c r="D216" t="s">
        <v>113</v>
      </c>
      <c r="E216">
        <v>8</v>
      </c>
      <c r="H216">
        <v>176</v>
      </c>
      <c r="I216" t="s">
        <v>114</v>
      </c>
      <c r="J216" t="s">
        <v>115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"14:43:26.492"</f>
        <v>14:43:26.492</v>
      </c>
      <c r="T216" t="str">
        <f>"14:43:24.992"</f>
        <v>14:43:24.992</v>
      </c>
      <c r="U216" t="str">
        <f t="shared" si="9"/>
        <v>A0F928</v>
      </c>
      <c r="V216">
        <v>0</v>
      </c>
      <c r="W216">
        <v>0</v>
      </c>
      <c r="X216">
        <v>2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1</v>
      </c>
      <c r="AI216" t="s">
        <v>231</v>
      </c>
      <c r="AJ216">
        <v>35.774467000000001</v>
      </c>
      <c r="AK216" t="s">
        <v>232</v>
      </c>
      <c r="AL216">
        <v>-83.992925</v>
      </c>
      <c r="AM216">
        <v>25</v>
      </c>
      <c r="AN216">
        <v>1625</v>
      </c>
      <c r="AO216" t="s">
        <v>118</v>
      </c>
      <c r="AP216">
        <v>135</v>
      </c>
      <c r="AQ216">
        <v>55</v>
      </c>
      <c r="AR216">
        <v>-768</v>
      </c>
      <c r="AZ216">
        <v>300</v>
      </c>
      <c r="BA216">
        <v>1</v>
      </c>
      <c r="BB216" t="str">
        <f t="shared" si="11"/>
        <v xml:space="preserve">N162AM  </v>
      </c>
      <c r="BC216">
        <v>1</v>
      </c>
      <c r="BE216">
        <v>0</v>
      </c>
      <c r="BF216">
        <v>0</v>
      </c>
      <c r="BG216">
        <v>0</v>
      </c>
      <c r="BH216">
        <v>1900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>"14:43:26.497"</f>
        <v>14:43:26.497</v>
      </c>
      <c r="CJ216">
        <v>3</v>
      </c>
      <c r="CK216">
        <v>2</v>
      </c>
      <c r="CL216">
        <v>0</v>
      </c>
      <c r="CM216">
        <v>2</v>
      </c>
      <c r="CN216">
        <v>0</v>
      </c>
      <c r="CO216">
        <v>4</v>
      </c>
      <c r="CP216" t="s">
        <v>119</v>
      </c>
      <c r="CQ216">
        <v>232</v>
      </c>
      <c r="CR216">
        <v>1</v>
      </c>
      <c r="CW216">
        <v>14894225</v>
      </c>
      <c r="CY216">
        <v>1</v>
      </c>
      <c r="CZ216">
        <v>0</v>
      </c>
      <c r="DA216">
        <v>0</v>
      </c>
      <c r="DB216">
        <v>0</v>
      </c>
      <c r="DC216">
        <v>0</v>
      </c>
      <c r="DD216">
        <v>1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"12/16/2021 14:43:26.716"</f>
        <v>12/16/2021 14:43:26.716</v>
      </c>
      <c r="C217" t="str">
        <f t="shared" si="10"/>
        <v>FFDFD3C0</v>
      </c>
      <c r="D217" t="s">
        <v>124</v>
      </c>
      <c r="E217">
        <v>10</v>
      </c>
      <c r="F217">
        <v>1010</v>
      </c>
      <c r="G217" t="s">
        <v>130</v>
      </c>
      <c r="J217" t="s">
        <v>125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"14:43:26.492"</f>
        <v>14:43:26.492</v>
      </c>
      <c r="T217" t="str">
        <f>"14:43:24.992"</f>
        <v>14:43:24.992</v>
      </c>
      <c r="U217" t="str">
        <f t="shared" si="9"/>
        <v>A0F928</v>
      </c>
      <c r="V217">
        <v>0</v>
      </c>
      <c r="W217">
        <v>0</v>
      </c>
      <c r="X217">
        <v>2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1</v>
      </c>
      <c r="AI217" t="s">
        <v>231</v>
      </c>
      <c r="AJ217">
        <v>35.774467000000001</v>
      </c>
      <c r="AK217" t="s">
        <v>232</v>
      </c>
      <c r="AL217">
        <v>-83.992925</v>
      </c>
      <c r="AM217">
        <v>25</v>
      </c>
      <c r="AN217">
        <v>1625</v>
      </c>
      <c r="AO217" t="s">
        <v>118</v>
      </c>
      <c r="AP217">
        <v>135</v>
      </c>
      <c r="AQ217">
        <v>55</v>
      </c>
      <c r="AR217">
        <v>-768</v>
      </c>
      <c r="AZ217">
        <v>300</v>
      </c>
      <c r="BA217">
        <v>1</v>
      </c>
      <c r="BB217" t="str">
        <f t="shared" si="11"/>
        <v xml:space="preserve">N162AM  </v>
      </c>
      <c r="BC217">
        <v>1</v>
      </c>
      <c r="BE217">
        <v>0</v>
      </c>
      <c r="BF217">
        <v>0</v>
      </c>
      <c r="BG217">
        <v>0</v>
      </c>
      <c r="BH217">
        <v>1900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>"14:43:26.497"</f>
        <v>14:43:26.497</v>
      </c>
      <c r="CJ217">
        <v>3</v>
      </c>
      <c r="CK217">
        <v>2</v>
      </c>
      <c r="CL217">
        <v>0</v>
      </c>
      <c r="CM217">
        <v>2</v>
      </c>
      <c r="CN217">
        <v>0</v>
      </c>
      <c r="CO217">
        <v>4</v>
      </c>
      <c r="CP217" t="s">
        <v>119</v>
      </c>
      <c r="CQ217">
        <v>232</v>
      </c>
      <c r="CR217">
        <v>1</v>
      </c>
      <c r="CW217">
        <v>14894225</v>
      </c>
      <c r="CY217">
        <v>1</v>
      </c>
      <c r="CZ217">
        <v>0</v>
      </c>
      <c r="DA217">
        <v>1</v>
      </c>
      <c r="DB217">
        <v>0</v>
      </c>
      <c r="DC217">
        <v>0</v>
      </c>
      <c r="DD217">
        <v>1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"12/16/2021 14:43:26.716"</f>
        <v>12/16/2021 14:43:26.716</v>
      </c>
      <c r="C218" t="str">
        <f t="shared" si="10"/>
        <v>FFDFD3C0</v>
      </c>
      <c r="D218" t="s">
        <v>133</v>
      </c>
      <c r="E218">
        <v>44</v>
      </c>
      <c r="H218">
        <v>131</v>
      </c>
      <c r="I218" t="s">
        <v>134</v>
      </c>
      <c r="J218" t="s">
        <v>135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"14:43:26.492"</f>
        <v>14:43:26.492</v>
      </c>
      <c r="T218" t="str">
        <f>"14:43:24.992"</f>
        <v>14:43:24.992</v>
      </c>
      <c r="U218" t="str">
        <f t="shared" si="9"/>
        <v>A0F928</v>
      </c>
      <c r="V218">
        <v>0</v>
      </c>
      <c r="W218">
        <v>0</v>
      </c>
      <c r="X218">
        <v>2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1</v>
      </c>
      <c r="AI218" t="s">
        <v>231</v>
      </c>
      <c r="AJ218">
        <v>35.774467000000001</v>
      </c>
      <c r="AK218" t="s">
        <v>232</v>
      </c>
      <c r="AL218">
        <v>-83.992925</v>
      </c>
      <c r="AM218">
        <v>25</v>
      </c>
      <c r="AN218">
        <v>1625</v>
      </c>
      <c r="AO218" t="s">
        <v>118</v>
      </c>
      <c r="AP218">
        <v>135</v>
      </c>
      <c r="AQ218">
        <v>55</v>
      </c>
      <c r="AR218">
        <v>-768</v>
      </c>
      <c r="AZ218">
        <v>300</v>
      </c>
      <c r="BA218">
        <v>1</v>
      </c>
      <c r="BB218" t="str">
        <f t="shared" si="11"/>
        <v xml:space="preserve">N162AM  </v>
      </c>
      <c r="BC218">
        <v>1</v>
      </c>
      <c r="BE218">
        <v>0</v>
      </c>
      <c r="BF218">
        <v>0</v>
      </c>
      <c r="BG218">
        <v>0</v>
      </c>
      <c r="BH218">
        <v>1900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>"14:43:26.497"</f>
        <v>14:43:26.497</v>
      </c>
      <c r="CJ218">
        <v>3</v>
      </c>
      <c r="CK218">
        <v>2</v>
      </c>
      <c r="CL218">
        <v>0</v>
      </c>
      <c r="CM218">
        <v>2</v>
      </c>
      <c r="CN218">
        <v>0</v>
      </c>
      <c r="CO218">
        <v>4</v>
      </c>
      <c r="CP218" t="s">
        <v>119</v>
      </c>
      <c r="CQ218">
        <v>232</v>
      </c>
      <c r="CR218">
        <v>1</v>
      </c>
      <c r="CW218">
        <v>14894225</v>
      </c>
      <c r="CY218">
        <v>1</v>
      </c>
      <c r="CZ218">
        <v>0</v>
      </c>
      <c r="DA218">
        <v>1</v>
      </c>
      <c r="DB218">
        <v>0</v>
      </c>
      <c r="DC218">
        <v>0</v>
      </c>
      <c r="DD218">
        <v>1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"12/16/2021 14:43:26.763"</f>
        <v>12/16/2021 14:43:26.763</v>
      </c>
      <c r="C219" t="str">
        <f t="shared" si="10"/>
        <v>FFDFD3C0</v>
      </c>
      <c r="D219" t="s">
        <v>124</v>
      </c>
      <c r="E219">
        <v>5</v>
      </c>
      <c r="F219">
        <v>1005</v>
      </c>
      <c r="G219" t="s">
        <v>114</v>
      </c>
      <c r="J219" t="s">
        <v>125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"14:43:26.492"</f>
        <v>14:43:26.492</v>
      </c>
      <c r="T219" t="str">
        <f>"14:43:24.992"</f>
        <v>14:43:24.992</v>
      </c>
      <c r="U219" t="str">
        <f t="shared" si="9"/>
        <v>A0F928</v>
      </c>
      <c r="V219">
        <v>0</v>
      </c>
      <c r="W219">
        <v>0</v>
      </c>
      <c r="X219">
        <v>2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1</v>
      </c>
      <c r="AI219" t="s">
        <v>231</v>
      </c>
      <c r="AJ219">
        <v>35.774467000000001</v>
      </c>
      <c r="AK219" t="s">
        <v>232</v>
      </c>
      <c r="AL219">
        <v>-83.992925</v>
      </c>
      <c r="AM219">
        <v>25</v>
      </c>
      <c r="AN219">
        <v>1625</v>
      </c>
      <c r="AO219" t="s">
        <v>118</v>
      </c>
      <c r="AP219">
        <v>135</v>
      </c>
      <c r="AQ219">
        <v>55</v>
      </c>
      <c r="AR219">
        <v>-768</v>
      </c>
      <c r="AZ219">
        <v>300</v>
      </c>
      <c r="BA219">
        <v>1</v>
      </c>
      <c r="BB219" t="str">
        <f t="shared" si="11"/>
        <v xml:space="preserve">N162AM  </v>
      </c>
      <c r="BC219">
        <v>1</v>
      </c>
      <c r="BE219">
        <v>0</v>
      </c>
      <c r="BF219">
        <v>0</v>
      </c>
      <c r="BG219">
        <v>0</v>
      </c>
      <c r="BH219">
        <v>1900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>"14:43:26.497"</f>
        <v>14:43:26.497</v>
      </c>
      <c r="CJ219">
        <v>3</v>
      </c>
      <c r="CK219">
        <v>2</v>
      </c>
      <c r="CL219">
        <v>0</v>
      </c>
      <c r="CM219">
        <v>2</v>
      </c>
      <c r="CN219">
        <v>0</v>
      </c>
      <c r="CO219">
        <v>4</v>
      </c>
      <c r="CP219" t="s">
        <v>119</v>
      </c>
      <c r="CQ219">
        <v>232</v>
      </c>
      <c r="CR219">
        <v>1</v>
      </c>
      <c r="CW219">
        <v>14894225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1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"12/16/2021 14:43:27.701"</f>
        <v>12/16/2021 14:43:27.701</v>
      </c>
      <c r="C220" t="str">
        <f t="shared" si="10"/>
        <v>FFDFD3C0</v>
      </c>
      <c r="D220" t="s">
        <v>133</v>
      </c>
      <c r="E220">
        <v>44</v>
      </c>
      <c r="H220">
        <v>131</v>
      </c>
      <c r="I220" t="s">
        <v>134</v>
      </c>
      <c r="J220" t="s">
        <v>135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"14:43:27.461"</f>
        <v>14:43:27.461</v>
      </c>
      <c r="T220" t="str">
        <f>"14:43:26.961"</f>
        <v>14:43:26.961</v>
      </c>
      <c r="U220" t="str">
        <f t="shared" si="9"/>
        <v>A0F928</v>
      </c>
      <c r="V220">
        <v>0</v>
      </c>
      <c r="W220">
        <v>0</v>
      </c>
      <c r="X220">
        <v>2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1</v>
      </c>
      <c r="AI220" t="s">
        <v>233</v>
      </c>
      <c r="AJ220">
        <v>35.774788999999998</v>
      </c>
      <c r="AK220" t="s">
        <v>234</v>
      </c>
      <c r="AL220">
        <v>-83.992238</v>
      </c>
      <c r="AM220">
        <v>25</v>
      </c>
      <c r="AN220">
        <v>1600</v>
      </c>
      <c r="AO220" t="s">
        <v>118</v>
      </c>
      <c r="AP220">
        <v>130</v>
      </c>
      <c r="AQ220">
        <v>70</v>
      </c>
      <c r="AR220">
        <v>-320</v>
      </c>
      <c r="AZ220">
        <v>300</v>
      </c>
      <c r="BA220">
        <v>1</v>
      </c>
      <c r="BB220" t="str">
        <f t="shared" si="11"/>
        <v xml:space="preserve">N162AM  </v>
      </c>
      <c r="BC220">
        <v>1</v>
      </c>
      <c r="BE220">
        <v>0</v>
      </c>
      <c r="BF220">
        <v>0</v>
      </c>
      <c r="BG220">
        <v>0</v>
      </c>
      <c r="BH220">
        <v>1875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>"14:43:27.463"</f>
        <v>14:43:27.463</v>
      </c>
      <c r="CJ220">
        <v>3</v>
      </c>
      <c r="CK220">
        <v>2</v>
      </c>
      <c r="CL220">
        <v>0</v>
      </c>
      <c r="CM220">
        <v>2</v>
      </c>
      <c r="CN220">
        <v>0</v>
      </c>
      <c r="CO220">
        <v>5</v>
      </c>
      <c r="CP220" t="s">
        <v>119</v>
      </c>
      <c r="CQ220">
        <v>232</v>
      </c>
      <c r="CR220">
        <v>1</v>
      </c>
      <c r="CW220">
        <v>14895774</v>
      </c>
      <c r="CY220">
        <v>1</v>
      </c>
      <c r="CZ220">
        <v>0</v>
      </c>
      <c r="DA220">
        <v>0</v>
      </c>
      <c r="DB220">
        <v>0</v>
      </c>
      <c r="DC220">
        <v>0</v>
      </c>
      <c r="DD220">
        <v>1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"12/16/2021 14:43:27.748"</f>
        <v>12/16/2021 14:43:27.748</v>
      </c>
      <c r="C221" t="str">
        <f t="shared" si="10"/>
        <v>FFDFD3C0</v>
      </c>
      <c r="D221" t="s">
        <v>124</v>
      </c>
      <c r="E221">
        <v>5</v>
      </c>
      <c r="F221">
        <v>1005</v>
      </c>
      <c r="G221" t="s">
        <v>114</v>
      </c>
      <c r="J221" t="s">
        <v>125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"14:43:27.461"</f>
        <v>14:43:27.461</v>
      </c>
      <c r="T221" t="str">
        <f>"14:43:26.961"</f>
        <v>14:43:26.961</v>
      </c>
      <c r="U221" t="str">
        <f t="shared" si="9"/>
        <v>A0F928</v>
      </c>
      <c r="V221">
        <v>0</v>
      </c>
      <c r="W221">
        <v>0</v>
      </c>
      <c r="X221">
        <v>2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1</v>
      </c>
      <c r="AI221" t="s">
        <v>233</v>
      </c>
      <c r="AJ221">
        <v>35.774788999999998</v>
      </c>
      <c r="AK221" t="s">
        <v>234</v>
      </c>
      <c r="AL221">
        <v>-83.992238</v>
      </c>
      <c r="AM221">
        <v>25</v>
      </c>
      <c r="AN221">
        <v>1600</v>
      </c>
      <c r="AO221" t="s">
        <v>118</v>
      </c>
      <c r="AP221">
        <v>130</v>
      </c>
      <c r="AQ221">
        <v>70</v>
      </c>
      <c r="AR221">
        <v>-320</v>
      </c>
      <c r="AZ221">
        <v>300</v>
      </c>
      <c r="BA221">
        <v>1</v>
      </c>
      <c r="BB221" t="str">
        <f t="shared" si="11"/>
        <v xml:space="preserve">N162AM  </v>
      </c>
      <c r="BC221">
        <v>1</v>
      </c>
      <c r="BE221">
        <v>0</v>
      </c>
      <c r="BF221">
        <v>0</v>
      </c>
      <c r="BG221">
        <v>0</v>
      </c>
      <c r="BH221">
        <v>1875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>"14:43:27.463"</f>
        <v>14:43:27.463</v>
      </c>
      <c r="CJ221">
        <v>3</v>
      </c>
      <c r="CK221">
        <v>2</v>
      </c>
      <c r="CL221">
        <v>0</v>
      </c>
      <c r="CM221">
        <v>2</v>
      </c>
      <c r="CN221">
        <v>0</v>
      </c>
      <c r="CO221">
        <v>5</v>
      </c>
      <c r="CP221" t="s">
        <v>119</v>
      </c>
      <c r="CQ221">
        <v>232</v>
      </c>
      <c r="CR221">
        <v>1</v>
      </c>
      <c r="CW221">
        <v>14895774</v>
      </c>
      <c r="CY221">
        <v>1</v>
      </c>
      <c r="CZ221">
        <v>0</v>
      </c>
      <c r="DA221">
        <v>1</v>
      </c>
      <c r="DB221">
        <v>0</v>
      </c>
      <c r="DC221">
        <v>0</v>
      </c>
      <c r="DD221">
        <v>1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"12/16/2021 14:43:27.748"</f>
        <v>12/16/2021 14:43:27.748</v>
      </c>
      <c r="C222" t="str">
        <f t="shared" si="10"/>
        <v>FFDFD3C0</v>
      </c>
      <c r="D222" t="s">
        <v>124</v>
      </c>
      <c r="E222">
        <v>10</v>
      </c>
      <c r="F222">
        <v>1010</v>
      </c>
      <c r="G222" t="s">
        <v>130</v>
      </c>
      <c r="J222" t="s">
        <v>125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"14:43:27.461"</f>
        <v>14:43:27.461</v>
      </c>
      <c r="T222" t="str">
        <f>"14:43:26.961"</f>
        <v>14:43:26.961</v>
      </c>
      <c r="U222" t="str">
        <f t="shared" si="9"/>
        <v>A0F928</v>
      </c>
      <c r="V222">
        <v>0</v>
      </c>
      <c r="W222">
        <v>0</v>
      </c>
      <c r="X222">
        <v>2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1</v>
      </c>
      <c r="AI222" t="s">
        <v>233</v>
      </c>
      <c r="AJ222">
        <v>35.774788999999998</v>
      </c>
      <c r="AK222" t="s">
        <v>234</v>
      </c>
      <c r="AL222">
        <v>-83.992238</v>
      </c>
      <c r="AM222">
        <v>25</v>
      </c>
      <c r="AN222">
        <v>1600</v>
      </c>
      <c r="AO222" t="s">
        <v>118</v>
      </c>
      <c r="AP222">
        <v>130</v>
      </c>
      <c r="AQ222">
        <v>70</v>
      </c>
      <c r="AR222">
        <v>-320</v>
      </c>
      <c r="AZ222">
        <v>300</v>
      </c>
      <c r="BA222">
        <v>1</v>
      </c>
      <c r="BB222" t="str">
        <f t="shared" si="11"/>
        <v xml:space="preserve">N162AM  </v>
      </c>
      <c r="BC222">
        <v>1</v>
      </c>
      <c r="BE222">
        <v>0</v>
      </c>
      <c r="BF222">
        <v>0</v>
      </c>
      <c r="BG222">
        <v>0</v>
      </c>
      <c r="BH222">
        <v>1875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>"14:43:27.463"</f>
        <v>14:43:27.463</v>
      </c>
      <c r="CJ222">
        <v>3</v>
      </c>
      <c r="CK222">
        <v>2</v>
      </c>
      <c r="CL222">
        <v>0</v>
      </c>
      <c r="CM222">
        <v>2</v>
      </c>
      <c r="CN222">
        <v>0</v>
      </c>
      <c r="CO222">
        <v>5</v>
      </c>
      <c r="CP222" t="s">
        <v>119</v>
      </c>
      <c r="CQ222">
        <v>232</v>
      </c>
      <c r="CR222">
        <v>1</v>
      </c>
      <c r="CW222">
        <v>14895774</v>
      </c>
      <c r="CY222">
        <v>1</v>
      </c>
      <c r="CZ222">
        <v>0</v>
      </c>
      <c r="DA222">
        <v>1</v>
      </c>
      <c r="DB222">
        <v>0</v>
      </c>
      <c r="DC222">
        <v>0</v>
      </c>
      <c r="DD222">
        <v>1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"12/16/2021 14:43:27.748"</f>
        <v>12/16/2021 14:43:27.748</v>
      </c>
      <c r="C223" t="str">
        <f t="shared" si="10"/>
        <v>FFDFD3C0</v>
      </c>
      <c r="D223" t="s">
        <v>113</v>
      </c>
      <c r="E223">
        <v>8</v>
      </c>
      <c r="H223">
        <v>176</v>
      </c>
      <c r="I223" t="s">
        <v>114</v>
      </c>
      <c r="J223" t="s">
        <v>115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"14:43:27.461"</f>
        <v>14:43:27.461</v>
      </c>
      <c r="T223" t="str">
        <f>"14:43:26.961"</f>
        <v>14:43:26.961</v>
      </c>
      <c r="U223" t="str">
        <f t="shared" si="9"/>
        <v>A0F928</v>
      </c>
      <c r="V223">
        <v>0</v>
      </c>
      <c r="W223">
        <v>0</v>
      </c>
      <c r="X223">
        <v>2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1</v>
      </c>
      <c r="AI223" t="s">
        <v>233</v>
      </c>
      <c r="AJ223">
        <v>35.774788999999998</v>
      </c>
      <c r="AK223" t="s">
        <v>234</v>
      </c>
      <c r="AL223">
        <v>-83.992238</v>
      </c>
      <c r="AM223">
        <v>25</v>
      </c>
      <c r="AN223">
        <v>1600</v>
      </c>
      <c r="AO223" t="s">
        <v>118</v>
      </c>
      <c r="AP223">
        <v>130</v>
      </c>
      <c r="AQ223">
        <v>70</v>
      </c>
      <c r="AR223">
        <v>-320</v>
      </c>
      <c r="AZ223">
        <v>300</v>
      </c>
      <c r="BA223">
        <v>1</v>
      </c>
      <c r="BB223" t="str">
        <f t="shared" si="11"/>
        <v xml:space="preserve">N162AM  </v>
      </c>
      <c r="BC223">
        <v>1</v>
      </c>
      <c r="BE223">
        <v>0</v>
      </c>
      <c r="BF223">
        <v>0</v>
      </c>
      <c r="BG223">
        <v>0</v>
      </c>
      <c r="BH223">
        <v>1875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>"14:43:27.463"</f>
        <v>14:43:27.463</v>
      </c>
      <c r="CJ223">
        <v>3</v>
      </c>
      <c r="CK223">
        <v>2</v>
      </c>
      <c r="CL223">
        <v>0</v>
      </c>
      <c r="CM223">
        <v>2</v>
      </c>
      <c r="CN223">
        <v>0</v>
      </c>
      <c r="CO223">
        <v>5</v>
      </c>
      <c r="CP223" t="s">
        <v>119</v>
      </c>
      <c r="CQ223">
        <v>232</v>
      </c>
      <c r="CR223">
        <v>1</v>
      </c>
      <c r="CW223">
        <v>14895774</v>
      </c>
      <c r="CY223">
        <v>1</v>
      </c>
      <c r="CZ223">
        <v>0</v>
      </c>
      <c r="DA223">
        <v>1</v>
      </c>
      <c r="DB223">
        <v>0</v>
      </c>
      <c r="DC223">
        <v>0</v>
      </c>
      <c r="DD223">
        <v>1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"12/16/2021 14:43:28.810"</f>
        <v>12/16/2021 14:43:28.810</v>
      </c>
      <c r="C224" t="str">
        <f t="shared" si="10"/>
        <v>FFDFD3C0</v>
      </c>
      <c r="D224" t="s">
        <v>124</v>
      </c>
      <c r="E224">
        <v>5</v>
      </c>
      <c r="F224">
        <v>1005</v>
      </c>
      <c r="G224" t="s">
        <v>114</v>
      </c>
      <c r="J224" t="s">
        <v>125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"14:43:28.500"</f>
        <v>14:43:28.500</v>
      </c>
      <c r="T224" t="str">
        <f>"14:43:28.000"</f>
        <v>14:43:28.000</v>
      </c>
      <c r="U224" t="str">
        <f t="shared" si="9"/>
        <v>A0F928</v>
      </c>
      <c r="V224">
        <v>0</v>
      </c>
      <c r="W224">
        <v>0</v>
      </c>
      <c r="X224">
        <v>2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1</v>
      </c>
      <c r="AI224" t="s">
        <v>235</v>
      </c>
      <c r="AJ224">
        <v>35.775154000000001</v>
      </c>
      <c r="AK224" t="s">
        <v>236</v>
      </c>
      <c r="AL224">
        <v>-83.991466000000003</v>
      </c>
      <c r="AM224">
        <v>25</v>
      </c>
      <c r="AN224">
        <v>1600</v>
      </c>
      <c r="AO224" t="s">
        <v>118</v>
      </c>
      <c r="AP224">
        <v>127</v>
      </c>
      <c r="AQ224">
        <v>76</v>
      </c>
      <c r="AR224">
        <v>-128</v>
      </c>
      <c r="AZ224">
        <v>300</v>
      </c>
      <c r="BA224">
        <v>1</v>
      </c>
      <c r="BB224" t="str">
        <f t="shared" si="11"/>
        <v xml:space="preserve">N162AM  </v>
      </c>
      <c r="BC224">
        <v>1</v>
      </c>
      <c r="BE224">
        <v>0</v>
      </c>
      <c r="BF224">
        <v>0</v>
      </c>
      <c r="BG224">
        <v>0</v>
      </c>
      <c r="BH224">
        <v>1875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>"14:43:28.500"</f>
        <v>14:43:28.500</v>
      </c>
      <c r="CJ224">
        <v>3</v>
      </c>
      <c r="CK224">
        <v>2</v>
      </c>
      <c r="CL224">
        <v>0</v>
      </c>
      <c r="CM224">
        <v>2</v>
      </c>
      <c r="CN224">
        <v>0</v>
      </c>
      <c r="CO224">
        <v>5</v>
      </c>
      <c r="CP224" t="s">
        <v>119</v>
      </c>
      <c r="CQ224">
        <v>232</v>
      </c>
      <c r="CR224">
        <v>1</v>
      </c>
      <c r="CW224">
        <v>14897370</v>
      </c>
      <c r="CY224">
        <v>1</v>
      </c>
      <c r="CZ224">
        <v>0</v>
      </c>
      <c r="DA224">
        <v>0</v>
      </c>
      <c r="DB224">
        <v>0</v>
      </c>
      <c r="DC224">
        <v>0</v>
      </c>
      <c r="DD224">
        <v>1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"12/16/2021 14:43:28.810"</f>
        <v>12/16/2021 14:43:28.810</v>
      </c>
      <c r="C225" t="str">
        <f t="shared" si="10"/>
        <v>FFDFD3C0</v>
      </c>
      <c r="D225" t="s">
        <v>124</v>
      </c>
      <c r="E225">
        <v>10</v>
      </c>
      <c r="F225">
        <v>1010</v>
      </c>
      <c r="G225" t="s">
        <v>130</v>
      </c>
      <c r="J225" t="s">
        <v>125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"14:43:28.500"</f>
        <v>14:43:28.500</v>
      </c>
      <c r="T225" t="str">
        <f>"14:43:28.000"</f>
        <v>14:43:28.000</v>
      </c>
      <c r="U225" t="str">
        <f t="shared" si="9"/>
        <v>A0F928</v>
      </c>
      <c r="V225">
        <v>0</v>
      </c>
      <c r="W225">
        <v>0</v>
      </c>
      <c r="X225">
        <v>2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1</v>
      </c>
      <c r="AI225" t="s">
        <v>235</v>
      </c>
      <c r="AJ225">
        <v>35.775154000000001</v>
      </c>
      <c r="AK225" t="s">
        <v>236</v>
      </c>
      <c r="AL225">
        <v>-83.991466000000003</v>
      </c>
      <c r="AM225">
        <v>25</v>
      </c>
      <c r="AN225">
        <v>1600</v>
      </c>
      <c r="AO225" t="s">
        <v>118</v>
      </c>
      <c r="AP225">
        <v>127</v>
      </c>
      <c r="AQ225">
        <v>76</v>
      </c>
      <c r="AR225">
        <v>-128</v>
      </c>
      <c r="AZ225">
        <v>300</v>
      </c>
      <c r="BA225">
        <v>1</v>
      </c>
      <c r="BB225" t="str">
        <f t="shared" si="11"/>
        <v xml:space="preserve">N162AM  </v>
      </c>
      <c r="BC225">
        <v>1</v>
      </c>
      <c r="BE225">
        <v>0</v>
      </c>
      <c r="BF225">
        <v>0</v>
      </c>
      <c r="BG225">
        <v>0</v>
      </c>
      <c r="BH225">
        <v>1875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>"14:43:28.500"</f>
        <v>14:43:28.500</v>
      </c>
      <c r="CJ225">
        <v>3</v>
      </c>
      <c r="CK225">
        <v>2</v>
      </c>
      <c r="CL225">
        <v>0</v>
      </c>
      <c r="CM225">
        <v>2</v>
      </c>
      <c r="CN225">
        <v>0</v>
      </c>
      <c r="CO225">
        <v>5</v>
      </c>
      <c r="CP225" t="s">
        <v>119</v>
      </c>
      <c r="CQ225">
        <v>232</v>
      </c>
      <c r="CR225">
        <v>1</v>
      </c>
      <c r="CW225">
        <v>14897370</v>
      </c>
      <c r="CY225">
        <v>1</v>
      </c>
      <c r="CZ225">
        <v>0</v>
      </c>
      <c r="DA225">
        <v>1</v>
      </c>
      <c r="DB225">
        <v>0</v>
      </c>
      <c r="DC225">
        <v>0</v>
      </c>
      <c r="DD225">
        <v>1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"12/16/2021 14:43:28.810"</f>
        <v>12/16/2021 14:43:28.810</v>
      </c>
      <c r="C226" t="str">
        <f t="shared" si="10"/>
        <v>FFDFD3C0</v>
      </c>
      <c r="D226" t="s">
        <v>113</v>
      </c>
      <c r="E226">
        <v>8</v>
      </c>
      <c r="H226">
        <v>176</v>
      </c>
      <c r="I226" t="s">
        <v>114</v>
      </c>
      <c r="J226" t="s">
        <v>115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"14:43:28.500"</f>
        <v>14:43:28.500</v>
      </c>
      <c r="T226" t="str">
        <f>"14:43:28.000"</f>
        <v>14:43:28.000</v>
      </c>
      <c r="U226" t="str">
        <f t="shared" si="9"/>
        <v>A0F928</v>
      </c>
      <c r="V226">
        <v>0</v>
      </c>
      <c r="W226">
        <v>0</v>
      </c>
      <c r="X226">
        <v>2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1</v>
      </c>
      <c r="AI226" t="s">
        <v>235</v>
      </c>
      <c r="AJ226">
        <v>35.775154000000001</v>
      </c>
      <c r="AK226" t="s">
        <v>236</v>
      </c>
      <c r="AL226">
        <v>-83.991466000000003</v>
      </c>
      <c r="AM226">
        <v>25</v>
      </c>
      <c r="AN226">
        <v>1600</v>
      </c>
      <c r="AO226" t="s">
        <v>118</v>
      </c>
      <c r="AP226">
        <v>127</v>
      </c>
      <c r="AQ226">
        <v>76</v>
      </c>
      <c r="AR226">
        <v>-128</v>
      </c>
      <c r="AZ226">
        <v>300</v>
      </c>
      <c r="BA226">
        <v>1</v>
      </c>
      <c r="BB226" t="str">
        <f t="shared" si="11"/>
        <v xml:space="preserve">N162AM  </v>
      </c>
      <c r="BC226">
        <v>1</v>
      </c>
      <c r="BE226">
        <v>0</v>
      </c>
      <c r="BF226">
        <v>0</v>
      </c>
      <c r="BG226">
        <v>0</v>
      </c>
      <c r="BH226">
        <v>1875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>"14:43:28.500"</f>
        <v>14:43:28.500</v>
      </c>
      <c r="CJ226">
        <v>3</v>
      </c>
      <c r="CK226">
        <v>2</v>
      </c>
      <c r="CL226">
        <v>0</v>
      </c>
      <c r="CM226">
        <v>2</v>
      </c>
      <c r="CN226">
        <v>0</v>
      </c>
      <c r="CO226">
        <v>5</v>
      </c>
      <c r="CP226" t="s">
        <v>119</v>
      </c>
      <c r="CQ226">
        <v>232</v>
      </c>
      <c r="CR226">
        <v>1</v>
      </c>
      <c r="CW226">
        <v>14897370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1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"12/16/2021 14:43:28.873"</f>
        <v>12/16/2021 14:43:28.873</v>
      </c>
      <c r="C227" t="str">
        <f t="shared" si="10"/>
        <v>FFDFD3C0</v>
      </c>
      <c r="D227" t="s">
        <v>133</v>
      </c>
      <c r="E227">
        <v>44</v>
      </c>
      <c r="H227">
        <v>131</v>
      </c>
      <c r="I227" t="s">
        <v>134</v>
      </c>
      <c r="J227" t="s">
        <v>135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"14:43:28.500"</f>
        <v>14:43:28.500</v>
      </c>
      <c r="T227" t="str">
        <f>"14:43:28.000"</f>
        <v>14:43:28.000</v>
      </c>
      <c r="U227" t="str">
        <f t="shared" si="9"/>
        <v>A0F928</v>
      </c>
      <c r="V227">
        <v>0</v>
      </c>
      <c r="W227">
        <v>0</v>
      </c>
      <c r="X227">
        <v>2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1</v>
      </c>
      <c r="AI227" t="s">
        <v>235</v>
      </c>
      <c r="AJ227">
        <v>35.775154000000001</v>
      </c>
      <c r="AK227" t="s">
        <v>236</v>
      </c>
      <c r="AL227">
        <v>-83.991466000000003</v>
      </c>
      <c r="AM227">
        <v>25</v>
      </c>
      <c r="AN227">
        <v>1600</v>
      </c>
      <c r="AO227" t="s">
        <v>118</v>
      </c>
      <c r="AP227">
        <v>127</v>
      </c>
      <c r="AQ227">
        <v>76</v>
      </c>
      <c r="AR227">
        <v>-128</v>
      </c>
      <c r="AZ227">
        <v>300</v>
      </c>
      <c r="BA227">
        <v>1</v>
      </c>
      <c r="BB227" t="str">
        <f t="shared" si="11"/>
        <v xml:space="preserve">N162AM  </v>
      </c>
      <c r="BC227">
        <v>1</v>
      </c>
      <c r="BE227">
        <v>0</v>
      </c>
      <c r="BF227">
        <v>0</v>
      </c>
      <c r="BG227">
        <v>0</v>
      </c>
      <c r="BH227">
        <v>1875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>"14:43:28.500"</f>
        <v>14:43:28.500</v>
      </c>
      <c r="CJ227">
        <v>3</v>
      </c>
      <c r="CK227">
        <v>2</v>
      </c>
      <c r="CL227">
        <v>0</v>
      </c>
      <c r="CM227">
        <v>2</v>
      </c>
      <c r="CN227">
        <v>0</v>
      </c>
      <c r="CO227">
        <v>5</v>
      </c>
      <c r="CP227" t="s">
        <v>119</v>
      </c>
      <c r="CQ227">
        <v>232</v>
      </c>
      <c r="CR227">
        <v>1</v>
      </c>
      <c r="CW227">
        <v>14897370</v>
      </c>
      <c r="CY227">
        <v>1</v>
      </c>
      <c r="CZ227">
        <v>0</v>
      </c>
      <c r="DA227">
        <v>1</v>
      </c>
      <c r="DB227">
        <v>0</v>
      </c>
      <c r="DC227">
        <v>0</v>
      </c>
      <c r="DD227">
        <v>1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"12/16/2021 14:43:29.724"</f>
        <v>12/16/2021 14:43:29.724</v>
      </c>
      <c r="C228" t="str">
        <f t="shared" si="10"/>
        <v>FFDFD3C0</v>
      </c>
      <c r="D228" t="s">
        <v>133</v>
      </c>
      <c r="E228">
        <v>44</v>
      </c>
      <c r="H228">
        <v>131</v>
      </c>
      <c r="I228" t="s">
        <v>134</v>
      </c>
      <c r="J228" t="s">
        <v>135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"14:43:29.531"</f>
        <v>14:43:29.531</v>
      </c>
      <c r="T228" t="str">
        <f>"14:43:29.131"</f>
        <v>14:43:29.131</v>
      </c>
      <c r="U228" t="str">
        <f t="shared" si="9"/>
        <v>A0F928</v>
      </c>
      <c r="V228">
        <v>0</v>
      </c>
      <c r="W228">
        <v>0</v>
      </c>
      <c r="X228">
        <v>2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1</v>
      </c>
      <c r="AI228" t="s">
        <v>237</v>
      </c>
      <c r="AJ228">
        <v>35.775539999999999</v>
      </c>
      <c r="AK228" t="s">
        <v>238</v>
      </c>
      <c r="AL228">
        <v>-83.990821999999994</v>
      </c>
      <c r="AM228">
        <v>25</v>
      </c>
      <c r="AN228">
        <v>1600</v>
      </c>
      <c r="AO228" t="s">
        <v>118</v>
      </c>
      <c r="AP228">
        <v>123</v>
      </c>
      <c r="AQ228">
        <v>83</v>
      </c>
      <c r="AR228">
        <v>64</v>
      </c>
      <c r="AZ228">
        <v>300</v>
      </c>
      <c r="BA228">
        <v>1</v>
      </c>
      <c r="BB228" t="str">
        <f t="shared" si="11"/>
        <v xml:space="preserve">N162AM  </v>
      </c>
      <c r="BC228">
        <v>1</v>
      </c>
      <c r="BE228">
        <v>0</v>
      </c>
      <c r="BF228">
        <v>0</v>
      </c>
      <c r="BG228">
        <v>0</v>
      </c>
      <c r="BH228">
        <v>1875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>"14:43:29.533"</f>
        <v>14:43:29.533</v>
      </c>
      <c r="CJ228">
        <v>3</v>
      </c>
      <c r="CK228">
        <v>2</v>
      </c>
      <c r="CL228">
        <v>0</v>
      </c>
      <c r="CM228">
        <v>2</v>
      </c>
      <c r="CN228">
        <v>0</v>
      </c>
      <c r="CO228">
        <v>5</v>
      </c>
      <c r="CP228" t="s">
        <v>119</v>
      </c>
      <c r="CQ228">
        <v>232</v>
      </c>
      <c r="CR228">
        <v>2</v>
      </c>
      <c r="CW228">
        <v>6097288</v>
      </c>
      <c r="CY228">
        <v>1</v>
      </c>
      <c r="CZ228">
        <v>0</v>
      </c>
      <c r="DA228">
        <v>0</v>
      </c>
      <c r="DB228">
        <v>0</v>
      </c>
      <c r="DC228">
        <v>0</v>
      </c>
      <c r="DD228">
        <v>1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"12/16/2021 14:43:29.724"</f>
        <v>12/16/2021 14:43:29.724</v>
      </c>
      <c r="C229" t="str">
        <f t="shared" si="10"/>
        <v>FFDFD3C0</v>
      </c>
      <c r="D229" t="s">
        <v>124</v>
      </c>
      <c r="E229">
        <v>5</v>
      </c>
      <c r="F229">
        <v>1005</v>
      </c>
      <c r="G229" t="s">
        <v>114</v>
      </c>
      <c r="J229" t="s">
        <v>125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"14:43:29.531"</f>
        <v>14:43:29.531</v>
      </c>
      <c r="T229" t="str">
        <f>"14:43:29.131"</f>
        <v>14:43:29.131</v>
      </c>
      <c r="U229" t="str">
        <f t="shared" si="9"/>
        <v>A0F928</v>
      </c>
      <c r="V229">
        <v>0</v>
      </c>
      <c r="W229">
        <v>0</v>
      </c>
      <c r="X229">
        <v>2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1</v>
      </c>
      <c r="AI229" t="s">
        <v>237</v>
      </c>
      <c r="AJ229">
        <v>35.775539999999999</v>
      </c>
      <c r="AK229" t="s">
        <v>238</v>
      </c>
      <c r="AL229">
        <v>-83.990821999999994</v>
      </c>
      <c r="AM229">
        <v>25</v>
      </c>
      <c r="AN229">
        <v>1600</v>
      </c>
      <c r="AO229" t="s">
        <v>118</v>
      </c>
      <c r="AP229">
        <v>123</v>
      </c>
      <c r="AQ229">
        <v>83</v>
      </c>
      <c r="AR229">
        <v>64</v>
      </c>
      <c r="AZ229">
        <v>300</v>
      </c>
      <c r="BA229">
        <v>1</v>
      </c>
      <c r="BB229" t="str">
        <f t="shared" si="11"/>
        <v xml:space="preserve">N162AM  </v>
      </c>
      <c r="BC229">
        <v>1</v>
      </c>
      <c r="BE229">
        <v>0</v>
      </c>
      <c r="BF229">
        <v>0</v>
      </c>
      <c r="BG229">
        <v>0</v>
      </c>
      <c r="BH229">
        <v>1875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>"14:43:29.533"</f>
        <v>14:43:29.533</v>
      </c>
      <c r="CJ229">
        <v>3</v>
      </c>
      <c r="CK229">
        <v>2</v>
      </c>
      <c r="CL229">
        <v>0</v>
      </c>
      <c r="CM229">
        <v>2</v>
      </c>
      <c r="CN229">
        <v>0</v>
      </c>
      <c r="CO229">
        <v>5</v>
      </c>
      <c r="CP229" t="s">
        <v>119</v>
      </c>
      <c r="CQ229">
        <v>232</v>
      </c>
      <c r="CR229">
        <v>2</v>
      </c>
      <c r="CW229">
        <v>6097288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1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"12/16/2021 14:43:29.724"</f>
        <v>12/16/2021 14:43:29.724</v>
      </c>
      <c r="C230" t="str">
        <f t="shared" si="10"/>
        <v>FFDFD3C0</v>
      </c>
      <c r="D230" t="s">
        <v>124</v>
      </c>
      <c r="E230">
        <v>10</v>
      </c>
      <c r="F230">
        <v>1010</v>
      </c>
      <c r="G230" t="s">
        <v>130</v>
      </c>
      <c r="J230" t="s">
        <v>125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"14:43:29.531"</f>
        <v>14:43:29.531</v>
      </c>
      <c r="T230" t="str">
        <f>"14:43:29.131"</f>
        <v>14:43:29.131</v>
      </c>
      <c r="U230" t="str">
        <f t="shared" si="9"/>
        <v>A0F928</v>
      </c>
      <c r="V230">
        <v>0</v>
      </c>
      <c r="W230">
        <v>0</v>
      </c>
      <c r="X230">
        <v>2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1</v>
      </c>
      <c r="AI230" t="s">
        <v>237</v>
      </c>
      <c r="AJ230">
        <v>35.775539999999999</v>
      </c>
      <c r="AK230" t="s">
        <v>238</v>
      </c>
      <c r="AL230">
        <v>-83.990821999999994</v>
      </c>
      <c r="AM230">
        <v>25</v>
      </c>
      <c r="AN230">
        <v>1600</v>
      </c>
      <c r="AO230" t="s">
        <v>118</v>
      </c>
      <c r="AP230">
        <v>123</v>
      </c>
      <c r="AQ230">
        <v>83</v>
      </c>
      <c r="AR230">
        <v>64</v>
      </c>
      <c r="AZ230">
        <v>300</v>
      </c>
      <c r="BA230">
        <v>1</v>
      </c>
      <c r="BB230" t="str">
        <f t="shared" si="11"/>
        <v xml:space="preserve">N162AM  </v>
      </c>
      <c r="BC230">
        <v>1</v>
      </c>
      <c r="BE230">
        <v>0</v>
      </c>
      <c r="BF230">
        <v>0</v>
      </c>
      <c r="BG230">
        <v>0</v>
      </c>
      <c r="BH230">
        <v>1875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>"14:43:29.533"</f>
        <v>14:43:29.533</v>
      </c>
      <c r="CJ230">
        <v>3</v>
      </c>
      <c r="CK230">
        <v>2</v>
      </c>
      <c r="CL230">
        <v>0</v>
      </c>
      <c r="CM230">
        <v>2</v>
      </c>
      <c r="CN230">
        <v>0</v>
      </c>
      <c r="CO230">
        <v>5</v>
      </c>
      <c r="CP230" t="s">
        <v>119</v>
      </c>
      <c r="CQ230">
        <v>232</v>
      </c>
      <c r="CR230">
        <v>2</v>
      </c>
      <c r="CW230">
        <v>6097288</v>
      </c>
      <c r="CY230">
        <v>1</v>
      </c>
      <c r="CZ230">
        <v>0</v>
      </c>
      <c r="DA230">
        <v>1</v>
      </c>
      <c r="DB230">
        <v>0</v>
      </c>
      <c r="DC230">
        <v>0</v>
      </c>
      <c r="DD230">
        <v>1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"12/16/2021 14:43:29.739"</f>
        <v>12/16/2021 14:43:29.739</v>
      </c>
      <c r="C231" t="str">
        <f t="shared" si="10"/>
        <v>FFDFD3C0</v>
      </c>
      <c r="D231" t="s">
        <v>113</v>
      </c>
      <c r="E231">
        <v>8</v>
      </c>
      <c r="H231">
        <v>176</v>
      </c>
      <c r="I231" t="s">
        <v>114</v>
      </c>
      <c r="J231" t="s">
        <v>115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"14:43:29.531"</f>
        <v>14:43:29.531</v>
      </c>
      <c r="T231" t="str">
        <f>"14:43:29.131"</f>
        <v>14:43:29.131</v>
      </c>
      <c r="U231" t="str">
        <f t="shared" si="9"/>
        <v>A0F928</v>
      </c>
      <c r="V231">
        <v>0</v>
      </c>
      <c r="W231">
        <v>0</v>
      </c>
      <c r="X231">
        <v>2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1</v>
      </c>
      <c r="AI231" t="s">
        <v>237</v>
      </c>
      <c r="AJ231">
        <v>35.775539999999999</v>
      </c>
      <c r="AK231" t="s">
        <v>238</v>
      </c>
      <c r="AL231">
        <v>-83.990821999999994</v>
      </c>
      <c r="AM231">
        <v>25</v>
      </c>
      <c r="AN231">
        <v>1600</v>
      </c>
      <c r="AO231" t="s">
        <v>118</v>
      </c>
      <c r="AP231">
        <v>123</v>
      </c>
      <c r="AQ231">
        <v>83</v>
      </c>
      <c r="AR231">
        <v>64</v>
      </c>
      <c r="AZ231">
        <v>300</v>
      </c>
      <c r="BA231">
        <v>1</v>
      </c>
      <c r="BB231" t="str">
        <f t="shared" si="11"/>
        <v xml:space="preserve">N162AM  </v>
      </c>
      <c r="BC231">
        <v>1</v>
      </c>
      <c r="BE231">
        <v>0</v>
      </c>
      <c r="BF231">
        <v>0</v>
      </c>
      <c r="BG231">
        <v>0</v>
      </c>
      <c r="BH231">
        <v>1875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>"14:43:29.533"</f>
        <v>14:43:29.533</v>
      </c>
      <c r="CJ231">
        <v>3</v>
      </c>
      <c r="CK231">
        <v>2</v>
      </c>
      <c r="CL231">
        <v>0</v>
      </c>
      <c r="CM231">
        <v>2</v>
      </c>
      <c r="CN231">
        <v>0</v>
      </c>
      <c r="CO231">
        <v>5</v>
      </c>
      <c r="CP231" t="s">
        <v>119</v>
      </c>
      <c r="CQ231">
        <v>232</v>
      </c>
      <c r="CR231">
        <v>2</v>
      </c>
      <c r="CW231">
        <v>6097288</v>
      </c>
      <c r="CY231">
        <v>1</v>
      </c>
      <c r="CZ231">
        <v>0</v>
      </c>
      <c r="DA231">
        <v>1</v>
      </c>
      <c r="DB231">
        <v>0</v>
      </c>
      <c r="DC231">
        <v>0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"12/16/2021 14:43:30.755"</f>
        <v>12/16/2021 14:43:30.755</v>
      </c>
      <c r="C232" t="str">
        <f t="shared" si="10"/>
        <v>FFDFD3C0</v>
      </c>
      <c r="D232" t="s">
        <v>124</v>
      </c>
      <c r="E232">
        <v>10</v>
      </c>
      <c r="F232">
        <v>1010</v>
      </c>
      <c r="G232" t="s">
        <v>130</v>
      </c>
      <c r="J232" t="s">
        <v>125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"14:43:30.539"</f>
        <v>14:43:30.539</v>
      </c>
      <c r="T232" t="str">
        <f>"14:43:29.539"</f>
        <v>14:43:29.539</v>
      </c>
      <c r="U232" t="str">
        <f t="shared" si="9"/>
        <v>A0F928</v>
      </c>
      <c r="V232">
        <v>0</v>
      </c>
      <c r="W232">
        <v>0</v>
      </c>
      <c r="X232">
        <v>2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1</v>
      </c>
      <c r="AI232" t="s">
        <v>239</v>
      </c>
      <c r="AJ232">
        <v>35.775948</v>
      </c>
      <c r="AK232" t="s">
        <v>240</v>
      </c>
      <c r="AL232">
        <v>-83.990134999999995</v>
      </c>
      <c r="AM232">
        <v>25</v>
      </c>
      <c r="AN232">
        <v>1600</v>
      </c>
      <c r="AO232" t="s">
        <v>118</v>
      </c>
      <c r="AP232">
        <v>121</v>
      </c>
      <c r="AQ232">
        <v>85</v>
      </c>
      <c r="AR232">
        <v>128</v>
      </c>
      <c r="AZ232">
        <v>300</v>
      </c>
      <c r="BA232">
        <v>1</v>
      </c>
      <c r="BB232" t="str">
        <f t="shared" si="11"/>
        <v xml:space="preserve">N162AM  </v>
      </c>
      <c r="BC232">
        <v>1</v>
      </c>
      <c r="BE232">
        <v>0</v>
      </c>
      <c r="BF232">
        <v>0</v>
      </c>
      <c r="BG232">
        <v>0</v>
      </c>
      <c r="BH232">
        <v>1875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>"14:43:30.544"</f>
        <v>14:43:30.544</v>
      </c>
      <c r="CJ232">
        <v>3</v>
      </c>
      <c r="CK232">
        <v>2</v>
      </c>
      <c r="CL232">
        <v>0</v>
      </c>
      <c r="CM232">
        <v>2</v>
      </c>
      <c r="CN232">
        <v>0</v>
      </c>
      <c r="CO232">
        <v>5</v>
      </c>
      <c r="CP232" t="s">
        <v>119</v>
      </c>
      <c r="CQ232">
        <v>232</v>
      </c>
      <c r="CR232">
        <v>2</v>
      </c>
      <c r="CW232">
        <v>6098840</v>
      </c>
      <c r="CY232">
        <v>1</v>
      </c>
      <c r="CZ232">
        <v>0</v>
      </c>
      <c r="DA232">
        <v>0</v>
      </c>
      <c r="DB232">
        <v>0</v>
      </c>
      <c r="DC232">
        <v>0</v>
      </c>
      <c r="DD232">
        <v>1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"12/16/2021 14:43:30.755"</f>
        <v>12/16/2021 14:43:30.755</v>
      </c>
      <c r="C233" t="str">
        <f t="shared" si="10"/>
        <v>FFDFD3C0</v>
      </c>
      <c r="D233" t="s">
        <v>113</v>
      </c>
      <c r="E233">
        <v>8</v>
      </c>
      <c r="H233">
        <v>176</v>
      </c>
      <c r="I233" t="s">
        <v>114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"14:43:30.539"</f>
        <v>14:43:30.539</v>
      </c>
      <c r="T233" t="str">
        <f>"14:43:29.539"</f>
        <v>14:43:29.539</v>
      </c>
      <c r="U233" t="str">
        <f t="shared" si="9"/>
        <v>A0F928</v>
      </c>
      <c r="V233">
        <v>0</v>
      </c>
      <c r="W233">
        <v>0</v>
      </c>
      <c r="X233">
        <v>2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1</v>
      </c>
      <c r="AI233" t="s">
        <v>239</v>
      </c>
      <c r="AJ233">
        <v>35.775948</v>
      </c>
      <c r="AK233" t="s">
        <v>240</v>
      </c>
      <c r="AL233">
        <v>-83.990134999999995</v>
      </c>
      <c r="AM233">
        <v>25</v>
      </c>
      <c r="AN233">
        <v>1600</v>
      </c>
      <c r="AO233" t="s">
        <v>118</v>
      </c>
      <c r="AP233">
        <v>121</v>
      </c>
      <c r="AQ233">
        <v>85</v>
      </c>
      <c r="AR233">
        <v>128</v>
      </c>
      <c r="AZ233">
        <v>300</v>
      </c>
      <c r="BA233">
        <v>1</v>
      </c>
      <c r="BB233" t="str">
        <f t="shared" si="11"/>
        <v xml:space="preserve">N162AM  </v>
      </c>
      <c r="BC233">
        <v>1</v>
      </c>
      <c r="BE233">
        <v>0</v>
      </c>
      <c r="BF233">
        <v>0</v>
      </c>
      <c r="BG233">
        <v>0</v>
      </c>
      <c r="BH233">
        <v>1875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>"14:43:30.544"</f>
        <v>14:43:30.544</v>
      </c>
      <c r="CJ233">
        <v>3</v>
      </c>
      <c r="CK233">
        <v>2</v>
      </c>
      <c r="CL233">
        <v>0</v>
      </c>
      <c r="CM233">
        <v>2</v>
      </c>
      <c r="CN233">
        <v>0</v>
      </c>
      <c r="CO233">
        <v>5</v>
      </c>
      <c r="CP233" t="s">
        <v>119</v>
      </c>
      <c r="CQ233">
        <v>232</v>
      </c>
      <c r="CR233">
        <v>2</v>
      </c>
      <c r="CW233">
        <v>6098840</v>
      </c>
      <c r="CY233">
        <v>1</v>
      </c>
      <c r="CZ233">
        <v>0</v>
      </c>
      <c r="DA233">
        <v>1</v>
      </c>
      <c r="DB233">
        <v>0</v>
      </c>
      <c r="DC233">
        <v>0</v>
      </c>
      <c r="DD233">
        <v>1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"12/16/2021 14:43:30.802"</f>
        <v>12/16/2021 14:43:30.802</v>
      </c>
      <c r="C234" t="str">
        <f t="shared" si="10"/>
        <v>FFDFD3C0</v>
      </c>
      <c r="D234" t="s">
        <v>124</v>
      </c>
      <c r="E234">
        <v>5</v>
      </c>
      <c r="F234">
        <v>1005</v>
      </c>
      <c r="G234" t="s">
        <v>114</v>
      </c>
      <c r="J234" t="s">
        <v>125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"14:43:30.539"</f>
        <v>14:43:30.539</v>
      </c>
      <c r="T234" t="str">
        <f>"14:43:29.539"</f>
        <v>14:43:29.539</v>
      </c>
      <c r="U234" t="str">
        <f t="shared" si="9"/>
        <v>A0F928</v>
      </c>
      <c r="V234">
        <v>0</v>
      </c>
      <c r="W234">
        <v>0</v>
      </c>
      <c r="X234">
        <v>2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1</v>
      </c>
      <c r="AI234" t="s">
        <v>239</v>
      </c>
      <c r="AJ234">
        <v>35.775948</v>
      </c>
      <c r="AK234" t="s">
        <v>240</v>
      </c>
      <c r="AL234">
        <v>-83.990134999999995</v>
      </c>
      <c r="AM234">
        <v>25</v>
      </c>
      <c r="AN234">
        <v>1600</v>
      </c>
      <c r="AO234" t="s">
        <v>118</v>
      </c>
      <c r="AP234">
        <v>121</v>
      </c>
      <c r="AQ234">
        <v>85</v>
      </c>
      <c r="AR234">
        <v>128</v>
      </c>
      <c r="AZ234">
        <v>300</v>
      </c>
      <c r="BA234">
        <v>1</v>
      </c>
      <c r="BB234" t="str">
        <f t="shared" si="11"/>
        <v xml:space="preserve">N162AM  </v>
      </c>
      <c r="BC234">
        <v>1</v>
      </c>
      <c r="BE234">
        <v>0</v>
      </c>
      <c r="BF234">
        <v>0</v>
      </c>
      <c r="BG234">
        <v>0</v>
      </c>
      <c r="BH234">
        <v>1875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>"14:43:30.544"</f>
        <v>14:43:30.544</v>
      </c>
      <c r="CJ234">
        <v>3</v>
      </c>
      <c r="CK234">
        <v>2</v>
      </c>
      <c r="CL234">
        <v>0</v>
      </c>
      <c r="CM234">
        <v>2</v>
      </c>
      <c r="CN234">
        <v>0</v>
      </c>
      <c r="CO234">
        <v>5</v>
      </c>
      <c r="CP234" t="s">
        <v>119</v>
      </c>
      <c r="CQ234">
        <v>232</v>
      </c>
      <c r="CR234">
        <v>2</v>
      </c>
      <c r="CW234">
        <v>6098840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1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"12/16/2021 14:43:30.802"</f>
        <v>12/16/2021 14:43:30.802</v>
      </c>
      <c r="C235" t="str">
        <f t="shared" si="10"/>
        <v>FFDFD3C0</v>
      </c>
      <c r="D235" t="s">
        <v>133</v>
      </c>
      <c r="E235">
        <v>44</v>
      </c>
      <c r="H235">
        <v>131</v>
      </c>
      <c r="I235" t="s">
        <v>134</v>
      </c>
      <c r="J235" t="s">
        <v>135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"14:43:30.539"</f>
        <v>14:43:30.539</v>
      </c>
      <c r="T235" t="str">
        <f>"14:43:29.539"</f>
        <v>14:43:29.539</v>
      </c>
      <c r="U235" t="str">
        <f t="shared" si="9"/>
        <v>A0F928</v>
      </c>
      <c r="V235">
        <v>0</v>
      </c>
      <c r="W235">
        <v>0</v>
      </c>
      <c r="X235">
        <v>2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1</v>
      </c>
      <c r="AI235" t="s">
        <v>239</v>
      </c>
      <c r="AJ235">
        <v>35.775948</v>
      </c>
      <c r="AK235" t="s">
        <v>240</v>
      </c>
      <c r="AL235">
        <v>-83.990134999999995</v>
      </c>
      <c r="AM235">
        <v>25</v>
      </c>
      <c r="AN235">
        <v>1600</v>
      </c>
      <c r="AO235" t="s">
        <v>118</v>
      </c>
      <c r="AP235">
        <v>121</v>
      </c>
      <c r="AQ235">
        <v>85</v>
      </c>
      <c r="AR235">
        <v>128</v>
      </c>
      <c r="AZ235">
        <v>300</v>
      </c>
      <c r="BA235">
        <v>1</v>
      </c>
      <c r="BB235" t="str">
        <f t="shared" si="11"/>
        <v xml:space="preserve">N162AM  </v>
      </c>
      <c r="BC235">
        <v>1</v>
      </c>
      <c r="BE235">
        <v>0</v>
      </c>
      <c r="BF235">
        <v>0</v>
      </c>
      <c r="BG235">
        <v>0</v>
      </c>
      <c r="BH235">
        <v>1875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>"14:43:30.544"</f>
        <v>14:43:30.544</v>
      </c>
      <c r="CJ235">
        <v>3</v>
      </c>
      <c r="CK235">
        <v>2</v>
      </c>
      <c r="CL235">
        <v>0</v>
      </c>
      <c r="CM235">
        <v>2</v>
      </c>
      <c r="CN235">
        <v>0</v>
      </c>
      <c r="CO235">
        <v>5</v>
      </c>
      <c r="CP235" t="s">
        <v>119</v>
      </c>
      <c r="CQ235">
        <v>232</v>
      </c>
      <c r="CR235">
        <v>2</v>
      </c>
      <c r="CW235">
        <v>6098840</v>
      </c>
      <c r="CY235">
        <v>1</v>
      </c>
      <c r="CZ235">
        <v>0</v>
      </c>
      <c r="DA235">
        <v>1</v>
      </c>
      <c r="DB235">
        <v>0</v>
      </c>
      <c r="DC235">
        <v>0</v>
      </c>
      <c r="DD235">
        <v>1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"12/16/2021 14:43:31.755"</f>
        <v>12/16/2021 14:43:31.755</v>
      </c>
      <c r="C236" t="str">
        <f t="shared" si="10"/>
        <v>FFDFD3C0</v>
      </c>
      <c r="D236" t="s">
        <v>124</v>
      </c>
      <c r="E236">
        <v>10</v>
      </c>
      <c r="F236">
        <v>1010</v>
      </c>
      <c r="G236" t="s">
        <v>130</v>
      </c>
      <c r="J236" t="s">
        <v>125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"14:43:31.516"</f>
        <v>14:43:31.516</v>
      </c>
      <c r="T236" t="str">
        <f>"14:43:28.016"</f>
        <v>14:43:28.016</v>
      </c>
      <c r="U236" t="str">
        <f t="shared" si="9"/>
        <v>A0F928</v>
      </c>
      <c r="V236">
        <v>0</v>
      </c>
      <c r="W236">
        <v>0</v>
      </c>
      <c r="X236">
        <v>2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1</v>
      </c>
      <c r="AI236" t="s">
        <v>241</v>
      </c>
      <c r="AJ236">
        <v>35.776376999999997</v>
      </c>
      <c r="AK236" t="s">
        <v>242</v>
      </c>
      <c r="AL236">
        <v>-83.989491000000001</v>
      </c>
      <c r="AM236">
        <v>25</v>
      </c>
      <c r="AN236">
        <v>1600</v>
      </c>
      <c r="AO236" t="s">
        <v>118</v>
      </c>
      <c r="AP236">
        <v>127</v>
      </c>
      <c r="AQ236">
        <v>76</v>
      </c>
      <c r="AR236">
        <v>-128</v>
      </c>
      <c r="AZ236">
        <v>300</v>
      </c>
      <c r="BA236">
        <v>1</v>
      </c>
      <c r="BB236" t="str">
        <f t="shared" si="11"/>
        <v xml:space="preserve">N162AM  </v>
      </c>
      <c r="BC236">
        <v>1</v>
      </c>
      <c r="BE236">
        <v>0</v>
      </c>
      <c r="BF236">
        <v>0</v>
      </c>
      <c r="BG236">
        <v>0</v>
      </c>
      <c r="BH236">
        <v>1875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>"14:43:31.522"</f>
        <v>14:43:31.522</v>
      </c>
      <c r="CJ236">
        <v>3</v>
      </c>
      <c r="CK236">
        <v>2</v>
      </c>
      <c r="CL236">
        <v>0</v>
      </c>
      <c r="CM236">
        <v>2</v>
      </c>
      <c r="CN236">
        <v>0</v>
      </c>
      <c r="CO236">
        <v>1</v>
      </c>
      <c r="CP236" t="s">
        <v>119</v>
      </c>
      <c r="CQ236">
        <v>216</v>
      </c>
      <c r="CR236">
        <v>0</v>
      </c>
      <c r="CW236">
        <v>385533</v>
      </c>
      <c r="CY236">
        <v>1</v>
      </c>
      <c r="CZ236">
        <v>0</v>
      </c>
      <c r="DA236">
        <v>0</v>
      </c>
      <c r="DB236">
        <v>0</v>
      </c>
      <c r="DC236">
        <v>0</v>
      </c>
      <c r="DD236">
        <v>1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"12/16/2021 14:43:31.708"</f>
        <v>12/16/2021 14:43:31.708</v>
      </c>
      <c r="C237" t="str">
        <f t="shared" si="10"/>
        <v>FFDFD3C0</v>
      </c>
      <c r="D237" t="s">
        <v>113</v>
      </c>
      <c r="E237">
        <v>8</v>
      </c>
      <c r="H237">
        <v>176</v>
      </c>
      <c r="I237" t="s">
        <v>114</v>
      </c>
      <c r="J237" t="s">
        <v>115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"14:43:31.516"</f>
        <v>14:43:31.516</v>
      </c>
      <c r="T237" t="str">
        <f>"14:43:28.016"</f>
        <v>14:43:28.016</v>
      </c>
      <c r="U237" t="str">
        <f t="shared" si="9"/>
        <v>A0F928</v>
      </c>
      <c r="V237">
        <v>0</v>
      </c>
      <c r="W237">
        <v>0</v>
      </c>
      <c r="X237">
        <v>2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1</v>
      </c>
      <c r="AI237" t="s">
        <v>241</v>
      </c>
      <c r="AJ237">
        <v>35.776376999999997</v>
      </c>
      <c r="AK237" t="s">
        <v>242</v>
      </c>
      <c r="AL237">
        <v>-83.989491000000001</v>
      </c>
      <c r="AM237">
        <v>25</v>
      </c>
      <c r="AN237">
        <v>1600</v>
      </c>
      <c r="AO237" t="s">
        <v>118</v>
      </c>
      <c r="AP237">
        <v>127</v>
      </c>
      <c r="AQ237">
        <v>76</v>
      </c>
      <c r="AR237">
        <v>-128</v>
      </c>
      <c r="AZ237">
        <v>300</v>
      </c>
      <c r="BA237">
        <v>1</v>
      </c>
      <c r="BB237" t="str">
        <f t="shared" si="11"/>
        <v xml:space="preserve">N162AM  </v>
      </c>
      <c r="BC237">
        <v>1</v>
      </c>
      <c r="BE237">
        <v>0</v>
      </c>
      <c r="BF237">
        <v>0</v>
      </c>
      <c r="BG237">
        <v>0</v>
      </c>
      <c r="BH237">
        <v>1875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>"14:43:31.522"</f>
        <v>14:43:31.522</v>
      </c>
      <c r="CJ237">
        <v>3</v>
      </c>
      <c r="CK237">
        <v>2</v>
      </c>
      <c r="CL237">
        <v>0</v>
      </c>
      <c r="CM237">
        <v>2</v>
      </c>
      <c r="CN237">
        <v>0</v>
      </c>
      <c r="CO237">
        <v>1</v>
      </c>
      <c r="CP237" t="s">
        <v>119</v>
      </c>
      <c r="CQ237">
        <v>216</v>
      </c>
      <c r="CR237">
        <v>0</v>
      </c>
      <c r="CW237">
        <v>385533</v>
      </c>
      <c r="CY237">
        <v>1</v>
      </c>
      <c r="CZ237">
        <v>0</v>
      </c>
      <c r="DA237">
        <v>1</v>
      </c>
      <c r="DB237">
        <v>0</v>
      </c>
      <c r="DC237">
        <v>0</v>
      </c>
      <c r="DD237">
        <v>1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"12/16/2021 14:43:31.771"</f>
        <v>12/16/2021 14:43:31.771</v>
      </c>
      <c r="C238" t="str">
        <f t="shared" si="10"/>
        <v>FFDFD3C0</v>
      </c>
      <c r="D238" t="s">
        <v>133</v>
      </c>
      <c r="E238">
        <v>44</v>
      </c>
      <c r="H238">
        <v>131</v>
      </c>
      <c r="I238" t="s">
        <v>134</v>
      </c>
      <c r="J238" t="s">
        <v>135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"14:43:31.516"</f>
        <v>14:43:31.516</v>
      </c>
      <c r="T238" t="str">
        <f>"14:43:28.016"</f>
        <v>14:43:28.016</v>
      </c>
      <c r="U238" t="str">
        <f t="shared" si="9"/>
        <v>A0F928</v>
      </c>
      <c r="V238">
        <v>0</v>
      </c>
      <c r="W238">
        <v>0</v>
      </c>
      <c r="X238">
        <v>2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1</v>
      </c>
      <c r="AI238" t="s">
        <v>241</v>
      </c>
      <c r="AJ238">
        <v>35.776376999999997</v>
      </c>
      <c r="AK238" t="s">
        <v>242</v>
      </c>
      <c r="AL238">
        <v>-83.989491000000001</v>
      </c>
      <c r="AM238">
        <v>25</v>
      </c>
      <c r="AN238">
        <v>1600</v>
      </c>
      <c r="AO238" t="s">
        <v>118</v>
      </c>
      <c r="AP238">
        <v>127</v>
      </c>
      <c r="AQ238">
        <v>76</v>
      </c>
      <c r="AR238">
        <v>-128</v>
      </c>
      <c r="AZ238">
        <v>300</v>
      </c>
      <c r="BA238">
        <v>1</v>
      </c>
      <c r="BB238" t="str">
        <f t="shared" si="11"/>
        <v xml:space="preserve">N162AM  </v>
      </c>
      <c r="BC238">
        <v>1</v>
      </c>
      <c r="BE238">
        <v>0</v>
      </c>
      <c r="BF238">
        <v>0</v>
      </c>
      <c r="BG238">
        <v>0</v>
      </c>
      <c r="BH238">
        <v>1875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>"14:43:31.522"</f>
        <v>14:43:31.522</v>
      </c>
      <c r="CJ238">
        <v>3</v>
      </c>
      <c r="CK238">
        <v>2</v>
      </c>
      <c r="CL238">
        <v>0</v>
      </c>
      <c r="CM238">
        <v>2</v>
      </c>
      <c r="CN238">
        <v>0</v>
      </c>
      <c r="CO238">
        <v>1</v>
      </c>
      <c r="CP238" t="s">
        <v>119</v>
      </c>
      <c r="CQ238">
        <v>216</v>
      </c>
      <c r="CR238">
        <v>0</v>
      </c>
      <c r="CW238">
        <v>385533</v>
      </c>
      <c r="CY238">
        <v>1</v>
      </c>
      <c r="CZ238">
        <v>0</v>
      </c>
      <c r="DA238">
        <v>1</v>
      </c>
      <c r="DB238">
        <v>0</v>
      </c>
      <c r="DC238">
        <v>0</v>
      </c>
      <c r="DD238">
        <v>1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"12/16/2021 14:43:31.771"</f>
        <v>12/16/2021 14:43:31.771</v>
      </c>
      <c r="C239" t="str">
        <f t="shared" si="10"/>
        <v>FFDFD3C0</v>
      </c>
      <c r="D239" t="s">
        <v>124</v>
      </c>
      <c r="E239">
        <v>5</v>
      </c>
      <c r="F239">
        <v>1005</v>
      </c>
      <c r="G239" t="s">
        <v>114</v>
      </c>
      <c r="J239" t="s">
        <v>125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"14:43:31.516"</f>
        <v>14:43:31.516</v>
      </c>
      <c r="T239" t="str">
        <f>"14:43:28.016"</f>
        <v>14:43:28.016</v>
      </c>
      <c r="U239" t="str">
        <f t="shared" si="9"/>
        <v>A0F928</v>
      </c>
      <c r="V239">
        <v>0</v>
      </c>
      <c r="W239">
        <v>0</v>
      </c>
      <c r="X239">
        <v>2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1</v>
      </c>
      <c r="AI239" t="s">
        <v>241</v>
      </c>
      <c r="AJ239">
        <v>35.776376999999997</v>
      </c>
      <c r="AK239" t="s">
        <v>242</v>
      </c>
      <c r="AL239">
        <v>-83.989491000000001</v>
      </c>
      <c r="AM239">
        <v>25</v>
      </c>
      <c r="AN239">
        <v>1600</v>
      </c>
      <c r="AO239" t="s">
        <v>118</v>
      </c>
      <c r="AP239">
        <v>127</v>
      </c>
      <c r="AQ239">
        <v>76</v>
      </c>
      <c r="AR239">
        <v>-128</v>
      </c>
      <c r="AZ239">
        <v>300</v>
      </c>
      <c r="BA239">
        <v>1</v>
      </c>
      <c r="BB239" t="str">
        <f t="shared" si="11"/>
        <v xml:space="preserve">N162AM  </v>
      </c>
      <c r="BC239">
        <v>1</v>
      </c>
      <c r="BE239">
        <v>0</v>
      </c>
      <c r="BF239">
        <v>0</v>
      </c>
      <c r="BG239">
        <v>0</v>
      </c>
      <c r="BH239">
        <v>1875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"14:43:31.522"</f>
        <v>14:43:31.522</v>
      </c>
      <c r="CJ239">
        <v>3</v>
      </c>
      <c r="CK239">
        <v>2</v>
      </c>
      <c r="CL239">
        <v>0</v>
      </c>
      <c r="CM239">
        <v>2</v>
      </c>
      <c r="CN239">
        <v>0</v>
      </c>
      <c r="CO239">
        <v>1</v>
      </c>
      <c r="CP239" t="s">
        <v>119</v>
      </c>
      <c r="CQ239">
        <v>216</v>
      </c>
      <c r="CR239">
        <v>0</v>
      </c>
      <c r="CW239">
        <v>385533</v>
      </c>
      <c r="CY239">
        <v>1</v>
      </c>
      <c r="CZ239">
        <v>0</v>
      </c>
      <c r="DA239">
        <v>1</v>
      </c>
      <c r="DB239">
        <v>0</v>
      </c>
      <c r="DC239">
        <v>0</v>
      </c>
      <c r="DD239">
        <v>1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"12/16/2021 14:43:33.083"</f>
        <v>12/16/2021 14:43:33.083</v>
      </c>
      <c r="C240" t="str">
        <f t="shared" si="10"/>
        <v>FFDFD3C0</v>
      </c>
      <c r="D240" t="s">
        <v>124</v>
      </c>
      <c r="E240">
        <v>10</v>
      </c>
      <c r="F240">
        <v>1010</v>
      </c>
      <c r="G240" t="s">
        <v>130</v>
      </c>
      <c r="J240" t="s">
        <v>125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"14:43:32.914"</f>
        <v>14:43:32.914</v>
      </c>
      <c r="T240" t="str">
        <f>"14:43:31.614"</f>
        <v>14:43:31.614</v>
      </c>
      <c r="U240" t="str">
        <f t="shared" si="9"/>
        <v>A0F928</v>
      </c>
      <c r="V240">
        <v>0</v>
      </c>
      <c r="W240">
        <v>0</v>
      </c>
      <c r="X240">
        <v>2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1</v>
      </c>
      <c r="AI240" t="s">
        <v>243</v>
      </c>
      <c r="AJ240">
        <v>35.77702</v>
      </c>
      <c r="AK240" t="s">
        <v>244</v>
      </c>
      <c r="AL240">
        <v>-83.988612000000003</v>
      </c>
      <c r="AM240">
        <v>25</v>
      </c>
      <c r="AN240">
        <v>1625</v>
      </c>
      <c r="AO240" t="s">
        <v>118</v>
      </c>
      <c r="AP240">
        <v>114</v>
      </c>
      <c r="AQ240">
        <v>94</v>
      </c>
      <c r="AR240">
        <v>256</v>
      </c>
      <c r="AZ240">
        <v>300</v>
      </c>
      <c r="BA240">
        <v>1</v>
      </c>
      <c r="BB240" t="str">
        <f t="shared" si="11"/>
        <v xml:space="preserve">N162AM  </v>
      </c>
      <c r="BC240">
        <v>1</v>
      </c>
      <c r="BE240">
        <v>0</v>
      </c>
      <c r="BF240">
        <v>0</v>
      </c>
      <c r="BG240">
        <v>0</v>
      </c>
      <c r="BH240">
        <v>1875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"14:43:32.919"</f>
        <v>14:43:32.919</v>
      </c>
      <c r="CJ240">
        <v>3</v>
      </c>
      <c r="CK240">
        <v>2</v>
      </c>
      <c r="CL240">
        <v>0</v>
      </c>
      <c r="CM240">
        <v>2</v>
      </c>
      <c r="CN240">
        <v>0</v>
      </c>
      <c r="CO240">
        <v>1</v>
      </c>
      <c r="CP240" t="s">
        <v>119</v>
      </c>
      <c r="CQ240">
        <v>216</v>
      </c>
      <c r="CR240">
        <v>0</v>
      </c>
      <c r="CW240">
        <v>387208</v>
      </c>
      <c r="CY240">
        <v>1</v>
      </c>
      <c r="CZ240">
        <v>0</v>
      </c>
      <c r="DA240">
        <v>0</v>
      </c>
      <c r="DB240">
        <v>0</v>
      </c>
      <c r="DC240">
        <v>0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"12/16/2021 14:43:33.099"</f>
        <v>12/16/2021 14:43:33.099</v>
      </c>
      <c r="C241" t="str">
        <f t="shared" si="10"/>
        <v>FFDFD3C0</v>
      </c>
      <c r="D241" t="s">
        <v>133</v>
      </c>
      <c r="E241">
        <v>44</v>
      </c>
      <c r="H241">
        <v>131</v>
      </c>
      <c r="I241" t="s">
        <v>134</v>
      </c>
      <c r="J241" t="s">
        <v>135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"14:43:32.914"</f>
        <v>14:43:32.914</v>
      </c>
      <c r="T241" t="str">
        <f>"14:43:31.614"</f>
        <v>14:43:31.614</v>
      </c>
      <c r="U241" t="str">
        <f t="shared" si="9"/>
        <v>A0F928</v>
      </c>
      <c r="V241">
        <v>0</v>
      </c>
      <c r="W241">
        <v>0</v>
      </c>
      <c r="X241">
        <v>2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1</v>
      </c>
      <c r="AI241" t="s">
        <v>243</v>
      </c>
      <c r="AJ241">
        <v>35.77702</v>
      </c>
      <c r="AK241" t="s">
        <v>244</v>
      </c>
      <c r="AL241">
        <v>-83.988612000000003</v>
      </c>
      <c r="AM241">
        <v>25</v>
      </c>
      <c r="AN241">
        <v>1625</v>
      </c>
      <c r="AO241" t="s">
        <v>118</v>
      </c>
      <c r="AP241">
        <v>114</v>
      </c>
      <c r="AQ241">
        <v>94</v>
      </c>
      <c r="AR241">
        <v>256</v>
      </c>
      <c r="AZ241">
        <v>300</v>
      </c>
      <c r="BA241">
        <v>1</v>
      </c>
      <c r="BB241" t="str">
        <f t="shared" si="11"/>
        <v xml:space="preserve">N162AM  </v>
      </c>
      <c r="BC241">
        <v>1</v>
      </c>
      <c r="BE241">
        <v>0</v>
      </c>
      <c r="BF241">
        <v>0</v>
      </c>
      <c r="BG241">
        <v>0</v>
      </c>
      <c r="BH241">
        <v>1875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"14:43:32.919"</f>
        <v>14:43:32.919</v>
      </c>
      <c r="CJ241">
        <v>3</v>
      </c>
      <c r="CK241">
        <v>2</v>
      </c>
      <c r="CL241">
        <v>0</v>
      </c>
      <c r="CM241">
        <v>2</v>
      </c>
      <c r="CN241">
        <v>0</v>
      </c>
      <c r="CO241">
        <v>1</v>
      </c>
      <c r="CP241" t="s">
        <v>119</v>
      </c>
      <c r="CQ241">
        <v>216</v>
      </c>
      <c r="CR241">
        <v>0</v>
      </c>
      <c r="CW241">
        <v>387208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1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"12/16/2021 14:43:33.146"</f>
        <v>12/16/2021 14:43:33.146</v>
      </c>
      <c r="C242" t="str">
        <f t="shared" si="10"/>
        <v>FFDFD3C0</v>
      </c>
      <c r="D242" t="s">
        <v>113</v>
      </c>
      <c r="E242">
        <v>8</v>
      </c>
      <c r="H242">
        <v>176</v>
      </c>
      <c r="I242" t="s">
        <v>114</v>
      </c>
      <c r="J242" t="s">
        <v>115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"14:43:32.914"</f>
        <v>14:43:32.914</v>
      </c>
      <c r="T242" t="str">
        <f>"14:43:31.614"</f>
        <v>14:43:31.614</v>
      </c>
      <c r="U242" t="str">
        <f t="shared" si="9"/>
        <v>A0F928</v>
      </c>
      <c r="V242">
        <v>0</v>
      </c>
      <c r="W242">
        <v>0</v>
      </c>
      <c r="X242">
        <v>2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1</v>
      </c>
      <c r="AI242" t="s">
        <v>243</v>
      </c>
      <c r="AJ242">
        <v>35.77702</v>
      </c>
      <c r="AK242" t="s">
        <v>244</v>
      </c>
      <c r="AL242">
        <v>-83.988612000000003</v>
      </c>
      <c r="AM242">
        <v>25</v>
      </c>
      <c r="AN242">
        <v>1625</v>
      </c>
      <c r="AO242" t="s">
        <v>118</v>
      </c>
      <c r="AP242">
        <v>114</v>
      </c>
      <c r="AQ242">
        <v>94</v>
      </c>
      <c r="AR242">
        <v>256</v>
      </c>
      <c r="AZ242">
        <v>300</v>
      </c>
      <c r="BA242">
        <v>1</v>
      </c>
      <c r="BB242" t="str">
        <f t="shared" si="11"/>
        <v xml:space="preserve">N162AM  </v>
      </c>
      <c r="BC242">
        <v>1</v>
      </c>
      <c r="BE242">
        <v>0</v>
      </c>
      <c r="BF242">
        <v>0</v>
      </c>
      <c r="BG242">
        <v>0</v>
      </c>
      <c r="BH242">
        <v>1875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"14:43:32.919"</f>
        <v>14:43:32.919</v>
      </c>
      <c r="CJ242">
        <v>3</v>
      </c>
      <c r="CK242">
        <v>2</v>
      </c>
      <c r="CL242">
        <v>0</v>
      </c>
      <c r="CM242">
        <v>2</v>
      </c>
      <c r="CN242">
        <v>0</v>
      </c>
      <c r="CO242">
        <v>1</v>
      </c>
      <c r="CP242" t="s">
        <v>119</v>
      </c>
      <c r="CQ242">
        <v>216</v>
      </c>
      <c r="CR242">
        <v>0</v>
      </c>
      <c r="CW242">
        <v>387208</v>
      </c>
      <c r="CY242">
        <v>1</v>
      </c>
      <c r="CZ242">
        <v>0</v>
      </c>
      <c r="DA242">
        <v>1</v>
      </c>
      <c r="DB242">
        <v>0</v>
      </c>
      <c r="DC242">
        <v>0</v>
      </c>
      <c r="DD242">
        <v>1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"12/16/2021 14:43:33.146"</f>
        <v>12/16/2021 14:43:33.146</v>
      </c>
      <c r="C243" t="str">
        <f t="shared" si="10"/>
        <v>FFDFD3C0</v>
      </c>
      <c r="D243" t="s">
        <v>124</v>
      </c>
      <c r="E243">
        <v>5</v>
      </c>
      <c r="F243">
        <v>1005</v>
      </c>
      <c r="G243" t="s">
        <v>114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"14:43:32.914"</f>
        <v>14:43:32.914</v>
      </c>
      <c r="T243" t="str">
        <f>"14:43:31.614"</f>
        <v>14:43:31.614</v>
      </c>
      <c r="U243" t="str">
        <f t="shared" si="9"/>
        <v>A0F928</v>
      </c>
      <c r="V243">
        <v>0</v>
      </c>
      <c r="W243">
        <v>0</v>
      </c>
      <c r="X243">
        <v>2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1</v>
      </c>
      <c r="AI243" t="s">
        <v>243</v>
      </c>
      <c r="AJ243">
        <v>35.77702</v>
      </c>
      <c r="AK243" t="s">
        <v>244</v>
      </c>
      <c r="AL243">
        <v>-83.988612000000003</v>
      </c>
      <c r="AM243">
        <v>25</v>
      </c>
      <c r="AN243">
        <v>1625</v>
      </c>
      <c r="AO243" t="s">
        <v>118</v>
      </c>
      <c r="AP243">
        <v>114</v>
      </c>
      <c r="AQ243">
        <v>94</v>
      </c>
      <c r="AR243">
        <v>256</v>
      </c>
      <c r="AZ243">
        <v>300</v>
      </c>
      <c r="BA243">
        <v>1</v>
      </c>
      <c r="BB243" t="str">
        <f t="shared" si="11"/>
        <v xml:space="preserve">N162AM  </v>
      </c>
      <c r="BC243">
        <v>1</v>
      </c>
      <c r="BE243">
        <v>0</v>
      </c>
      <c r="BF243">
        <v>0</v>
      </c>
      <c r="BG243">
        <v>0</v>
      </c>
      <c r="BH243">
        <v>1875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"14:43:32.919"</f>
        <v>14:43:32.919</v>
      </c>
      <c r="CJ243">
        <v>3</v>
      </c>
      <c r="CK243">
        <v>2</v>
      </c>
      <c r="CL243">
        <v>0</v>
      </c>
      <c r="CM243">
        <v>2</v>
      </c>
      <c r="CN243">
        <v>0</v>
      </c>
      <c r="CO243">
        <v>1</v>
      </c>
      <c r="CP243" t="s">
        <v>119</v>
      </c>
      <c r="CQ243">
        <v>216</v>
      </c>
      <c r="CR243">
        <v>0</v>
      </c>
      <c r="CW243">
        <v>387208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1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"12/16/2021 14:43:34.100"</f>
        <v>12/16/2021 14:43:34.100</v>
      </c>
      <c r="C244" t="str">
        <f t="shared" si="10"/>
        <v>FFDFD3C0</v>
      </c>
      <c r="D244" t="s">
        <v>124</v>
      </c>
      <c r="E244">
        <v>10</v>
      </c>
      <c r="F244">
        <v>1010</v>
      </c>
      <c r="G244" t="s">
        <v>130</v>
      </c>
      <c r="J244" t="s">
        <v>125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"14:43:33.867"</f>
        <v>14:43:33.867</v>
      </c>
      <c r="T244" t="str">
        <f>"14:43:32.967"</f>
        <v>14:43:32.967</v>
      </c>
      <c r="U244" t="str">
        <f t="shared" si="9"/>
        <v>A0F928</v>
      </c>
      <c r="V244">
        <v>0</v>
      </c>
      <c r="W244">
        <v>0</v>
      </c>
      <c r="X244">
        <v>2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1</v>
      </c>
      <c r="AI244" t="s">
        <v>245</v>
      </c>
      <c r="AJ244">
        <v>35.777493</v>
      </c>
      <c r="AK244" t="s">
        <v>246</v>
      </c>
      <c r="AL244">
        <v>-83.988032000000004</v>
      </c>
      <c r="AM244">
        <v>25</v>
      </c>
      <c r="AN244">
        <v>1625</v>
      </c>
      <c r="AO244" t="s">
        <v>118</v>
      </c>
      <c r="AP244">
        <v>109</v>
      </c>
      <c r="AQ244">
        <v>99</v>
      </c>
      <c r="AR244">
        <v>256</v>
      </c>
      <c r="AZ244">
        <v>300</v>
      </c>
      <c r="BA244">
        <v>1</v>
      </c>
      <c r="BB244" t="str">
        <f t="shared" si="11"/>
        <v xml:space="preserve">N162AM  </v>
      </c>
      <c r="BC244">
        <v>1</v>
      </c>
      <c r="BE244">
        <v>0</v>
      </c>
      <c r="BF244">
        <v>0</v>
      </c>
      <c r="BG244">
        <v>0</v>
      </c>
      <c r="BH244">
        <v>1900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"14:43:33.875"</f>
        <v>14:43:33.875</v>
      </c>
      <c r="CJ244">
        <v>3</v>
      </c>
      <c r="CK244">
        <v>2</v>
      </c>
      <c r="CL244">
        <v>0</v>
      </c>
      <c r="CM244">
        <v>2</v>
      </c>
      <c r="CN244">
        <v>0</v>
      </c>
      <c r="CO244">
        <v>1</v>
      </c>
      <c r="CP244" t="s">
        <v>119</v>
      </c>
      <c r="CQ244">
        <v>216</v>
      </c>
      <c r="CR244">
        <v>0</v>
      </c>
      <c r="CW244">
        <v>388358</v>
      </c>
      <c r="CY244">
        <v>1</v>
      </c>
      <c r="CZ244">
        <v>0</v>
      </c>
      <c r="DA244">
        <v>0</v>
      </c>
      <c r="DB244">
        <v>0</v>
      </c>
      <c r="DC244">
        <v>0</v>
      </c>
      <c r="DD244">
        <v>1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"12/16/2021 14:43:34.100"</f>
        <v>12/16/2021 14:43:34.100</v>
      </c>
      <c r="C245" t="str">
        <f t="shared" si="10"/>
        <v>FFDFD3C0</v>
      </c>
      <c r="D245" t="s">
        <v>133</v>
      </c>
      <c r="E245">
        <v>44</v>
      </c>
      <c r="H245">
        <v>131</v>
      </c>
      <c r="I245" t="s">
        <v>134</v>
      </c>
      <c r="J245" t="s">
        <v>135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"14:43:33.867"</f>
        <v>14:43:33.867</v>
      </c>
      <c r="T245" t="str">
        <f>"14:43:32.967"</f>
        <v>14:43:32.967</v>
      </c>
      <c r="U245" t="str">
        <f t="shared" si="9"/>
        <v>A0F928</v>
      </c>
      <c r="V245">
        <v>0</v>
      </c>
      <c r="W245">
        <v>0</v>
      </c>
      <c r="X245">
        <v>2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1</v>
      </c>
      <c r="AI245" t="s">
        <v>245</v>
      </c>
      <c r="AJ245">
        <v>35.777493</v>
      </c>
      <c r="AK245" t="s">
        <v>246</v>
      </c>
      <c r="AL245">
        <v>-83.988032000000004</v>
      </c>
      <c r="AM245">
        <v>25</v>
      </c>
      <c r="AN245">
        <v>1625</v>
      </c>
      <c r="AO245" t="s">
        <v>118</v>
      </c>
      <c r="AP245">
        <v>109</v>
      </c>
      <c r="AQ245">
        <v>99</v>
      </c>
      <c r="AR245">
        <v>256</v>
      </c>
      <c r="AZ245">
        <v>300</v>
      </c>
      <c r="BA245">
        <v>1</v>
      </c>
      <c r="BB245" t="str">
        <f t="shared" si="11"/>
        <v xml:space="preserve">N162AM  </v>
      </c>
      <c r="BC245">
        <v>1</v>
      </c>
      <c r="BE245">
        <v>0</v>
      </c>
      <c r="BF245">
        <v>0</v>
      </c>
      <c r="BG245">
        <v>0</v>
      </c>
      <c r="BH245">
        <v>1900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"14:43:33.875"</f>
        <v>14:43:33.875</v>
      </c>
      <c r="CJ245">
        <v>3</v>
      </c>
      <c r="CK245">
        <v>2</v>
      </c>
      <c r="CL245">
        <v>0</v>
      </c>
      <c r="CM245">
        <v>2</v>
      </c>
      <c r="CN245">
        <v>0</v>
      </c>
      <c r="CO245">
        <v>1</v>
      </c>
      <c r="CP245" t="s">
        <v>119</v>
      </c>
      <c r="CQ245">
        <v>216</v>
      </c>
      <c r="CR245">
        <v>0</v>
      </c>
      <c r="CW245">
        <v>388358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1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"12/16/2021 14:43:34.100"</f>
        <v>12/16/2021 14:43:34.100</v>
      </c>
      <c r="C246" t="str">
        <f t="shared" si="10"/>
        <v>FFDFD3C0</v>
      </c>
      <c r="D246" t="s">
        <v>124</v>
      </c>
      <c r="E246">
        <v>5</v>
      </c>
      <c r="F246">
        <v>1005</v>
      </c>
      <c r="G246" t="s">
        <v>114</v>
      </c>
      <c r="J246" t="s">
        <v>125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"14:43:33.867"</f>
        <v>14:43:33.867</v>
      </c>
      <c r="T246" t="str">
        <f>"14:43:32.967"</f>
        <v>14:43:32.967</v>
      </c>
      <c r="U246" t="str">
        <f t="shared" si="9"/>
        <v>A0F928</v>
      </c>
      <c r="V246">
        <v>0</v>
      </c>
      <c r="W246">
        <v>0</v>
      </c>
      <c r="X246">
        <v>2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1</v>
      </c>
      <c r="AI246" t="s">
        <v>245</v>
      </c>
      <c r="AJ246">
        <v>35.777493</v>
      </c>
      <c r="AK246" t="s">
        <v>246</v>
      </c>
      <c r="AL246">
        <v>-83.988032000000004</v>
      </c>
      <c r="AM246">
        <v>25</v>
      </c>
      <c r="AN246">
        <v>1625</v>
      </c>
      <c r="AO246" t="s">
        <v>118</v>
      </c>
      <c r="AP246">
        <v>109</v>
      </c>
      <c r="AQ246">
        <v>99</v>
      </c>
      <c r="AR246">
        <v>256</v>
      </c>
      <c r="AZ246">
        <v>300</v>
      </c>
      <c r="BA246">
        <v>1</v>
      </c>
      <c r="BB246" t="str">
        <f t="shared" si="11"/>
        <v xml:space="preserve">N162AM  </v>
      </c>
      <c r="BC246">
        <v>1</v>
      </c>
      <c r="BE246">
        <v>0</v>
      </c>
      <c r="BF246">
        <v>0</v>
      </c>
      <c r="BG246">
        <v>0</v>
      </c>
      <c r="BH246">
        <v>1900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"14:43:33.875"</f>
        <v>14:43:33.875</v>
      </c>
      <c r="CJ246">
        <v>3</v>
      </c>
      <c r="CK246">
        <v>2</v>
      </c>
      <c r="CL246">
        <v>0</v>
      </c>
      <c r="CM246">
        <v>2</v>
      </c>
      <c r="CN246">
        <v>0</v>
      </c>
      <c r="CO246">
        <v>1</v>
      </c>
      <c r="CP246" t="s">
        <v>119</v>
      </c>
      <c r="CQ246">
        <v>216</v>
      </c>
      <c r="CR246">
        <v>0</v>
      </c>
      <c r="CW246">
        <v>388358</v>
      </c>
      <c r="CY246">
        <v>1</v>
      </c>
      <c r="CZ246">
        <v>0</v>
      </c>
      <c r="DA246">
        <v>1</v>
      </c>
      <c r="DB246">
        <v>0</v>
      </c>
      <c r="DC246">
        <v>0</v>
      </c>
      <c r="DD246">
        <v>1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"12/16/2021 14:43:34.147"</f>
        <v>12/16/2021 14:43:34.147</v>
      </c>
      <c r="C247" t="str">
        <f t="shared" si="10"/>
        <v>FFDFD3C0</v>
      </c>
      <c r="D247" t="s">
        <v>113</v>
      </c>
      <c r="E247">
        <v>8</v>
      </c>
      <c r="H247">
        <v>176</v>
      </c>
      <c r="I247" t="s">
        <v>114</v>
      </c>
      <c r="J247" t="s">
        <v>115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"14:43:33.867"</f>
        <v>14:43:33.867</v>
      </c>
      <c r="T247" t="str">
        <f>"14:43:32.967"</f>
        <v>14:43:32.967</v>
      </c>
      <c r="U247" t="str">
        <f t="shared" si="9"/>
        <v>A0F928</v>
      </c>
      <c r="V247">
        <v>0</v>
      </c>
      <c r="W247">
        <v>0</v>
      </c>
      <c r="X247">
        <v>2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1</v>
      </c>
      <c r="AI247" t="s">
        <v>245</v>
      </c>
      <c r="AJ247">
        <v>35.777493</v>
      </c>
      <c r="AK247" t="s">
        <v>246</v>
      </c>
      <c r="AL247">
        <v>-83.988032000000004</v>
      </c>
      <c r="AM247">
        <v>25</v>
      </c>
      <c r="AN247">
        <v>1625</v>
      </c>
      <c r="AO247" t="s">
        <v>118</v>
      </c>
      <c r="AP247">
        <v>109</v>
      </c>
      <c r="AQ247">
        <v>99</v>
      </c>
      <c r="AR247">
        <v>256</v>
      </c>
      <c r="AZ247">
        <v>300</v>
      </c>
      <c r="BA247">
        <v>1</v>
      </c>
      <c r="BB247" t="str">
        <f t="shared" si="11"/>
        <v xml:space="preserve">N162AM  </v>
      </c>
      <c r="BC247">
        <v>1</v>
      </c>
      <c r="BE247">
        <v>0</v>
      </c>
      <c r="BF247">
        <v>0</v>
      </c>
      <c r="BG247">
        <v>0</v>
      </c>
      <c r="BH247">
        <v>1900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"14:43:33.875"</f>
        <v>14:43:33.875</v>
      </c>
      <c r="CJ247">
        <v>3</v>
      </c>
      <c r="CK247">
        <v>2</v>
      </c>
      <c r="CL247">
        <v>0</v>
      </c>
      <c r="CM247">
        <v>2</v>
      </c>
      <c r="CN247">
        <v>0</v>
      </c>
      <c r="CO247">
        <v>1</v>
      </c>
      <c r="CP247" t="s">
        <v>119</v>
      </c>
      <c r="CQ247">
        <v>216</v>
      </c>
      <c r="CR247">
        <v>0</v>
      </c>
      <c r="CW247">
        <v>388358</v>
      </c>
      <c r="CY247">
        <v>1</v>
      </c>
      <c r="CZ247">
        <v>0</v>
      </c>
      <c r="DA247">
        <v>1</v>
      </c>
      <c r="DB247">
        <v>0</v>
      </c>
      <c r="DC247">
        <v>0</v>
      </c>
      <c r="DD247">
        <v>1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"12/16/2021 14:43:35.255"</f>
        <v>12/16/2021 14:43:35.255</v>
      </c>
      <c r="C248" t="str">
        <f t="shared" si="10"/>
        <v>FFDFD3C0</v>
      </c>
      <c r="D248" t="s">
        <v>133</v>
      </c>
      <c r="E248">
        <v>44</v>
      </c>
      <c r="H248">
        <v>131</v>
      </c>
      <c r="I248" t="s">
        <v>134</v>
      </c>
      <c r="J248" t="s">
        <v>135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"14:43:34.984"</f>
        <v>14:43:34.984</v>
      </c>
      <c r="T248" t="str">
        <f>"14:43:34.484"</f>
        <v>14:43:34.484</v>
      </c>
      <c r="U248" t="str">
        <f t="shared" si="9"/>
        <v>A0F928</v>
      </c>
      <c r="V248">
        <v>0</v>
      </c>
      <c r="W248">
        <v>0</v>
      </c>
      <c r="X248">
        <v>2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1</v>
      </c>
      <c r="AI248" t="s">
        <v>247</v>
      </c>
      <c r="AJ248">
        <v>35.778028999999997</v>
      </c>
      <c r="AK248" t="s">
        <v>248</v>
      </c>
      <c r="AL248">
        <v>-83.987324000000001</v>
      </c>
      <c r="AM248">
        <v>25</v>
      </c>
      <c r="AN248">
        <v>1625</v>
      </c>
      <c r="AO248" t="s">
        <v>118</v>
      </c>
      <c r="AP248">
        <v>104</v>
      </c>
      <c r="AQ248">
        <v>104</v>
      </c>
      <c r="AR248">
        <v>128</v>
      </c>
      <c r="AZ248">
        <v>300</v>
      </c>
      <c r="BA248">
        <v>1</v>
      </c>
      <c r="BB248" t="str">
        <f t="shared" si="11"/>
        <v xml:space="preserve">N162AM  </v>
      </c>
      <c r="BC248">
        <v>1</v>
      </c>
      <c r="BE248">
        <v>0</v>
      </c>
      <c r="BF248">
        <v>0</v>
      </c>
      <c r="BG248">
        <v>0</v>
      </c>
      <c r="BH248">
        <v>1900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"14:43:34.987"</f>
        <v>14:43:34.987</v>
      </c>
      <c r="CJ248">
        <v>3</v>
      </c>
      <c r="CK248">
        <v>2</v>
      </c>
      <c r="CL248">
        <v>0</v>
      </c>
      <c r="CM248">
        <v>2</v>
      </c>
      <c r="CN248">
        <v>0</v>
      </c>
      <c r="CO248">
        <v>1</v>
      </c>
      <c r="CP248" t="s">
        <v>119</v>
      </c>
      <c r="CQ248">
        <v>216</v>
      </c>
      <c r="CR248">
        <v>0</v>
      </c>
      <c r="CW248">
        <v>389743</v>
      </c>
      <c r="CY248">
        <v>1</v>
      </c>
      <c r="CZ248">
        <v>0</v>
      </c>
      <c r="DA248">
        <v>0</v>
      </c>
      <c r="DB248">
        <v>0</v>
      </c>
      <c r="DC248">
        <v>0</v>
      </c>
      <c r="DD248">
        <v>1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"12/16/2021 14:43:35.286"</f>
        <v>12/16/2021 14:43:35.286</v>
      </c>
      <c r="C249" t="str">
        <f t="shared" si="10"/>
        <v>FFDFD3C0</v>
      </c>
      <c r="D249" t="s">
        <v>124</v>
      </c>
      <c r="E249">
        <v>10</v>
      </c>
      <c r="F249">
        <v>1010</v>
      </c>
      <c r="G249" t="s">
        <v>130</v>
      </c>
      <c r="J249" t="s">
        <v>125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"14:43:34.984"</f>
        <v>14:43:34.984</v>
      </c>
      <c r="T249" t="str">
        <f>"14:43:34.484"</f>
        <v>14:43:34.484</v>
      </c>
      <c r="U249" t="str">
        <f t="shared" si="9"/>
        <v>A0F928</v>
      </c>
      <c r="V249">
        <v>0</v>
      </c>
      <c r="W249">
        <v>0</v>
      </c>
      <c r="X249">
        <v>2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1</v>
      </c>
      <c r="AI249" t="s">
        <v>247</v>
      </c>
      <c r="AJ249">
        <v>35.778028999999997</v>
      </c>
      <c r="AK249" t="s">
        <v>248</v>
      </c>
      <c r="AL249">
        <v>-83.987324000000001</v>
      </c>
      <c r="AM249">
        <v>25</v>
      </c>
      <c r="AN249">
        <v>1625</v>
      </c>
      <c r="AO249" t="s">
        <v>118</v>
      </c>
      <c r="AP249">
        <v>104</v>
      </c>
      <c r="AQ249">
        <v>104</v>
      </c>
      <c r="AR249">
        <v>128</v>
      </c>
      <c r="AZ249">
        <v>300</v>
      </c>
      <c r="BA249">
        <v>1</v>
      </c>
      <c r="BB249" t="str">
        <f t="shared" si="11"/>
        <v xml:space="preserve">N162AM  </v>
      </c>
      <c r="BC249">
        <v>1</v>
      </c>
      <c r="BE249">
        <v>0</v>
      </c>
      <c r="BF249">
        <v>0</v>
      </c>
      <c r="BG249">
        <v>0</v>
      </c>
      <c r="BH249">
        <v>1900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"14:43:34.987"</f>
        <v>14:43:34.987</v>
      </c>
      <c r="CJ249">
        <v>3</v>
      </c>
      <c r="CK249">
        <v>2</v>
      </c>
      <c r="CL249">
        <v>0</v>
      </c>
      <c r="CM249">
        <v>2</v>
      </c>
      <c r="CN249">
        <v>0</v>
      </c>
      <c r="CO249">
        <v>1</v>
      </c>
      <c r="CP249" t="s">
        <v>119</v>
      </c>
      <c r="CQ249">
        <v>216</v>
      </c>
      <c r="CR249">
        <v>0</v>
      </c>
      <c r="CW249">
        <v>389743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1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"12/16/2021 14:43:35.286"</f>
        <v>12/16/2021 14:43:35.286</v>
      </c>
      <c r="C250" t="str">
        <f t="shared" si="10"/>
        <v>FFDFD3C0</v>
      </c>
      <c r="D250" t="s">
        <v>113</v>
      </c>
      <c r="E250">
        <v>8</v>
      </c>
      <c r="H250">
        <v>176</v>
      </c>
      <c r="I250" t="s">
        <v>114</v>
      </c>
      <c r="J250" t="s">
        <v>115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"14:43:34.984"</f>
        <v>14:43:34.984</v>
      </c>
      <c r="T250" t="str">
        <f>"14:43:34.484"</f>
        <v>14:43:34.484</v>
      </c>
      <c r="U250" t="str">
        <f t="shared" si="9"/>
        <v>A0F928</v>
      </c>
      <c r="V250">
        <v>0</v>
      </c>
      <c r="W250">
        <v>0</v>
      </c>
      <c r="X250">
        <v>2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1</v>
      </c>
      <c r="AI250" t="s">
        <v>247</v>
      </c>
      <c r="AJ250">
        <v>35.778028999999997</v>
      </c>
      <c r="AK250" t="s">
        <v>248</v>
      </c>
      <c r="AL250">
        <v>-83.987324000000001</v>
      </c>
      <c r="AM250">
        <v>25</v>
      </c>
      <c r="AN250">
        <v>1625</v>
      </c>
      <c r="AO250" t="s">
        <v>118</v>
      </c>
      <c r="AP250">
        <v>104</v>
      </c>
      <c r="AQ250">
        <v>104</v>
      </c>
      <c r="AR250">
        <v>128</v>
      </c>
      <c r="AZ250">
        <v>300</v>
      </c>
      <c r="BA250">
        <v>1</v>
      </c>
      <c r="BB250" t="str">
        <f t="shared" si="11"/>
        <v xml:space="preserve">N162AM  </v>
      </c>
      <c r="BC250">
        <v>1</v>
      </c>
      <c r="BE250">
        <v>0</v>
      </c>
      <c r="BF250">
        <v>0</v>
      </c>
      <c r="BG250">
        <v>0</v>
      </c>
      <c r="BH250">
        <v>1900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>"14:43:34.987"</f>
        <v>14:43:34.987</v>
      </c>
      <c r="CJ250">
        <v>3</v>
      </c>
      <c r="CK250">
        <v>2</v>
      </c>
      <c r="CL250">
        <v>0</v>
      </c>
      <c r="CM250">
        <v>2</v>
      </c>
      <c r="CN250">
        <v>0</v>
      </c>
      <c r="CO250">
        <v>1</v>
      </c>
      <c r="CP250" t="s">
        <v>119</v>
      </c>
      <c r="CQ250">
        <v>216</v>
      </c>
      <c r="CR250">
        <v>0</v>
      </c>
      <c r="CW250">
        <v>389743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1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"12/16/2021 14:43:35.286"</f>
        <v>12/16/2021 14:43:35.286</v>
      </c>
      <c r="C251" t="str">
        <f t="shared" si="10"/>
        <v>FFDFD3C0</v>
      </c>
      <c r="D251" t="s">
        <v>124</v>
      </c>
      <c r="E251">
        <v>5</v>
      </c>
      <c r="F251">
        <v>1005</v>
      </c>
      <c r="G251" t="s">
        <v>114</v>
      </c>
      <c r="J251" t="s">
        <v>125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"14:43:34.984"</f>
        <v>14:43:34.984</v>
      </c>
      <c r="T251" t="str">
        <f>"14:43:34.484"</f>
        <v>14:43:34.484</v>
      </c>
      <c r="U251" t="str">
        <f t="shared" si="9"/>
        <v>A0F928</v>
      </c>
      <c r="V251">
        <v>0</v>
      </c>
      <c r="W251">
        <v>0</v>
      </c>
      <c r="X251">
        <v>2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1</v>
      </c>
      <c r="AI251" t="s">
        <v>247</v>
      </c>
      <c r="AJ251">
        <v>35.778028999999997</v>
      </c>
      <c r="AK251" t="s">
        <v>248</v>
      </c>
      <c r="AL251">
        <v>-83.987324000000001</v>
      </c>
      <c r="AM251">
        <v>25</v>
      </c>
      <c r="AN251">
        <v>1625</v>
      </c>
      <c r="AO251" t="s">
        <v>118</v>
      </c>
      <c r="AP251">
        <v>104</v>
      </c>
      <c r="AQ251">
        <v>104</v>
      </c>
      <c r="AR251">
        <v>128</v>
      </c>
      <c r="AZ251">
        <v>300</v>
      </c>
      <c r="BA251">
        <v>1</v>
      </c>
      <c r="BB251" t="str">
        <f t="shared" si="11"/>
        <v xml:space="preserve">N162AM  </v>
      </c>
      <c r="BC251">
        <v>1</v>
      </c>
      <c r="BE251">
        <v>0</v>
      </c>
      <c r="BF251">
        <v>0</v>
      </c>
      <c r="BG251">
        <v>0</v>
      </c>
      <c r="BH251">
        <v>1900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>"14:43:34.987"</f>
        <v>14:43:34.987</v>
      </c>
      <c r="CJ251">
        <v>3</v>
      </c>
      <c r="CK251">
        <v>2</v>
      </c>
      <c r="CL251">
        <v>0</v>
      </c>
      <c r="CM251">
        <v>2</v>
      </c>
      <c r="CN251">
        <v>0</v>
      </c>
      <c r="CO251">
        <v>1</v>
      </c>
      <c r="CP251" t="s">
        <v>119</v>
      </c>
      <c r="CQ251">
        <v>216</v>
      </c>
      <c r="CR251">
        <v>0</v>
      </c>
      <c r="CW251">
        <v>389743</v>
      </c>
      <c r="CY251">
        <v>1</v>
      </c>
      <c r="CZ251">
        <v>0</v>
      </c>
      <c r="DA251">
        <v>1</v>
      </c>
      <c r="DB251">
        <v>0</v>
      </c>
      <c r="DC251">
        <v>0</v>
      </c>
      <c r="DD251">
        <v>1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"12/16/2021 14:43:36.583"</f>
        <v>12/16/2021 14:43:36.583</v>
      </c>
      <c r="C252" t="str">
        <f t="shared" si="10"/>
        <v>FFDFD3C0</v>
      </c>
      <c r="D252" t="s">
        <v>133</v>
      </c>
      <c r="E252">
        <v>44</v>
      </c>
      <c r="H252">
        <v>131</v>
      </c>
      <c r="I252" t="s">
        <v>134</v>
      </c>
      <c r="J252" t="s">
        <v>135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"14:43:36.367"</f>
        <v>14:43:36.367</v>
      </c>
      <c r="T252" t="str">
        <f>"14:43:35.967"</f>
        <v>14:43:35.967</v>
      </c>
      <c r="U252" t="str">
        <f t="shared" si="9"/>
        <v>A0F928</v>
      </c>
      <c r="V252">
        <v>0</v>
      </c>
      <c r="W252">
        <v>0</v>
      </c>
      <c r="X252">
        <v>2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1</v>
      </c>
      <c r="AI252" t="s">
        <v>249</v>
      </c>
      <c r="AJ252">
        <v>35.778716000000003</v>
      </c>
      <c r="AK252" t="s">
        <v>250</v>
      </c>
      <c r="AL252">
        <v>-83.986594999999994</v>
      </c>
      <c r="AM252">
        <v>25</v>
      </c>
      <c r="AN252">
        <v>1625</v>
      </c>
      <c r="AO252" t="s">
        <v>118</v>
      </c>
      <c r="AP252">
        <v>99</v>
      </c>
      <c r="AQ252">
        <v>108</v>
      </c>
      <c r="AR252">
        <v>128</v>
      </c>
      <c r="AZ252">
        <v>300</v>
      </c>
      <c r="BA252">
        <v>1</v>
      </c>
      <c r="BB252" t="str">
        <f t="shared" si="11"/>
        <v xml:space="preserve">N162AM  </v>
      </c>
      <c r="BC252">
        <v>1</v>
      </c>
      <c r="BE252">
        <v>0</v>
      </c>
      <c r="BF252">
        <v>0</v>
      </c>
      <c r="BG252">
        <v>0</v>
      </c>
      <c r="BH252">
        <v>1900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>"14:43:36.375"</f>
        <v>14:43:36.375</v>
      </c>
      <c r="CJ252">
        <v>3</v>
      </c>
      <c r="CK252">
        <v>2</v>
      </c>
      <c r="CL252">
        <v>0</v>
      </c>
      <c r="CM252">
        <v>2</v>
      </c>
      <c r="CN252">
        <v>0</v>
      </c>
      <c r="CO252">
        <v>5</v>
      </c>
      <c r="CP252" t="s">
        <v>119</v>
      </c>
      <c r="CQ252">
        <v>232</v>
      </c>
      <c r="CR252">
        <v>1</v>
      </c>
      <c r="CW252">
        <v>14909726</v>
      </c>
      <c r="CY252">
        <v>1</v>
      </c>
      <c r="CZ252">
        <v>0</v>
      </c>
      <c r="DA252">
        <v>0</v>
      </c>
      <c r="DB252">
        <v>0</v>
      </c>
      <c r="DC252">
        <v>0</v>
      </c>
      <c r="DD252">
        <v>1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"12/16/2021 14:43:36.646"</f>
        <v>12/16/2021 14:43:36.646</v>
      </c>
      <c r="C253" t="str">
        <f t="shared" si="10"/>
        <v>FFDFD3C0</v>
      </c>
      <c r="D253" t="s">
        <v>124</v>
      </c>
      <c r="E253">
        <v>10</v>
      </c>
      <c r="F253">
        <v>1010</v>
      </c>
      <c r="G253" t="s">
        <v>130</v>
      </c>
      <c r="J253" t="s">
        <v>125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"14:43:36.367"</f>
        <v>14:43:36.367</v>
      </c>
      <c r="T253" t="str">
        <f>"14:43:35.967"</f>
        <v>14:43:35.967</v>
      </c>
      <c r="U253" t="str">
        <f t="shared" si="9"/>
        <v>A0F928</v>
      </c>
      <c r="V253">
        <v>0</v>
      </c>
      <c r="W253">
        <v>0</v>
      </c>
      <c r="X253">
        <v>2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1</v>
      </c>
      <c r="AI253" t="s">
        <v>249</v>
      </c>
      <c r="AJ253">
        <v>35.778716000000003</v>
      </c>
      <c r="AK253" t="s">
        <v>250</v>
      </c>
      <c r="AL253">
        <v>-83.986594999999994</v>
      </c>
      <c r="AM253">
        <v>25</v>
      </c>
      <c r="AN253">
        <v>1625</v>
      </c>
      <c r="AO253" t="s">
        <v>118</v>
      </c>
      <c r="AP253">
        <v>99</v>
      </c>
      <c r="AQ253">
        <v>108</v>
      </c>
      <c r="AR253">
        <v>128</v>
      </c>
      <c r="AZ253">
        <v>300</v>
      </c>
      <c r="BA253">
        <v>1</v>
      </c>
      <c r="BB253" t="str">
        <f t="shared" si="11"/>
        <v xml:space="preserve">N162AM  </v>
      </c>
      <c r="BC253">
        <v>1</v>
      </c>
      <c r="BE253">
        <v>0</v>
      </c>
      <c r="BF253">
        <v>0</v>
      </c>
      <c r="BG253">
        <v>0</v>
      </c>
      <c r="BH253">
        <v>1900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>"14:43:36.375"</f>
        <v>14:43:36.375</v>
      </c>
      <c r="CJ253">
        <v>3</v>
      </c>
      <c r="CK253">
        <v>2</v>
      </c>
      <c r="CL253">
        <v>0</v>
      </c>
      <c r="CM253">
        <v>2</v>
      </c>
      <c r="CN253">
        <v>0</v>
      </c>
      <c r="CO253">
        <v>5</v>
      </c>
      <c r="CP253" t="s">
        <v>119</v>
      </c>
      <c r="CQ253">
        <v>232</v>
      </c>
      <c r="CR253">
        <v>1</v>
      </c>
      <c r="CW253">
        <v>14909726</v>
      </c>
      <c r="CY253">
        <v>1</v>
      </c>
      <c r="CZ253">
        <v>0</v>
      </c>
      <c r="DA253">
        <v>1</v>
      </c>
      <c r="DB253">
        <v>0</v>
      </c>
      <c r="DC253">
        <v>0</v>
      </c>
      <c r="DD253">
        <v>1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"12/16/2021 14:43:36.646"</f>
        <v>12/16/2021 14:43:36.646</v>
      </c>
      <c r="C254" t="str">
        <f t="shared" si="10"/>
        <v>FFDFD3C0</v>
      </c>
      <c r="D254" t="s">
        <v>124</v>
      </c>
      <c r="E254">
        <v>5</v>
      </c>
      <c r="F254">
        <v>1005</v>
      </c>
      <c r="G254" t="s">
        <v>114</v>
      </c>
      <c r="J254" t="s">
        <v>125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"14:43:36.367"</f>
        <v>14:43:36.367</v>
      </c>
      <c r="T254" t="str">
        <f>"14:43:35.967"</f>
        <v>14:43:35.967</v>
      </c>
      <c r="U254" t="str">
        <f t="shared" si="9"/>
        <v>A0F928</v>
      </c>
      <c r="V254">
        <v>0</v>
      </c>
      <c r="W254">
        <v>0</v>
      </c>
      <c r="X254">
        <v>2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1</v>
      </c>
      <c r="AI254" t="s">
        <v>249</v>
      </c>
      <c r="AJ254">
        <v>35.778716000000003</v>
      </c>
      <c r="AK254" t="s">
        <v>250</v>
      </c>
      <c r="AL254">
        <v>-83.986594999999994</v>
      </c>
      <c r="AM254">
        <v>25</v>
      </c>
      <c r="AN254">
        <v>1625</v>
      </c>
      <c r="AO254" t="s">
        <v>118</v>
      </c>
      <c r="AP254">
        <v>99</v>
      </c>
      <c r="AQ254">
        <v>108</v>
      </c>
      <c r="AR254">
        <v>128</v>
      </c>
      <c r="AZ254">
        <v>300</v>
      </c>
      <c r="BA254">
        <v>1</v>
      </c>
      <c r="BB254" t="str">
        <f t="shared" si="11"/>
        <v xml:space="preserve">N162AM  </v>
      </c>
      <c r="BC254">
        <v>1</v>
      </c>
      <c r="BE254">
        <v>0</v>
      </c>
      <c r="BF254">
        <v>0</v>
      </c>
      <c r="BG254">
        <v>0</v>
      </c>
      <c r="BH254">
        <v>1900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>"14:43:36.375"</f>
        <v>14:43:36.375</v>
      </c>
      <c r="CJ254">
        <v>3</v>
      </c>
      <c r="CK254">
        <v>2</v>
      </c>
      <c r="CL254">
        <v>0</v>
      </c>
      <c r="CM254">
        <v>2</v>
      </c>
      <c r="CN254">
        <v>0</v>
      </c>
      <c r="CO254">
        <v>5</v>
      </c>
      <c r="CP254" t="s">
        <v>119</v>
      </c>
      <c r="CQ254">
        <v>232</v>
      </c>
      <c r="CR254">
        <v>1</v>
      </c>
      <c r="CW254">
        <v>14909726</v>
      </c>
      <c r="CY254">
        <v>1</v>
      </c>
      <c r="CZ254">
        <v>0</v>
      </c>
      <c r="DA254">
        <v>1</v>
      </c>
      <c r="DB254">
        <v>0</v>
      </c>
      <c r="DC254">
        <v>0</v>
      </c>
      <c r="DD254">
        <v>1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"12/16/2021 14:43:36.646"</f>
        <v>12/16/2021 14:43:36.646</v>
      </c>
      <c r="C255" t="str">
        <f t="shared" si="10"/>
        <v>FFDFD3C0</v>
      </c>
      <c r="D255" t="s">
        <v>113</v>
      </c>
      <c r="E255">
        <v>8</v>
      </c>
      <c r="H255">
        <v>176</v>
      </c>
      <c r="I255" t="s">
        <v>114</v>
      </c>
      <c r="J255" t="s">
        <v>115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"14:43:36.367"</f>
        <v>14:43:36.367</v>
      </c>
      <c r="T255" t="str">
        <f>"14:43:35.967"</f>
        <v>14:43:35.967</v>
      </c>
      <c r="U255" t="str">
        <f t="shared" si="9"/>
        <v>A0F928</v>
      </c>
      <c r="V255">
        <v>0</v>
      </c>
      <c r="W255">
        <v>0</v>
      </c>
      <c r="X255">
        <v>2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1</v>
      </c>
      <c r="AI255" t="s">
        <v>249</v>
      </c>
      <c r="AJ255">
        <v>35.778716000000003</v>
      </c>
      <c r="AK255" t="s">
        <v>250</v>
      </c>
      <c r="AL255">
        <v>-83.986594999999994</v>
      </c>
      <c r="AM255">
        <v>25</v>
      </c>
      <c r="AN255">
        <v>1625</v>
      </c>
      <c r="AO255" t="s">
        <v>118</v>
      </c>
      <c r="AP255">
        <v>99</v>
      </c>
      <c r="AQ255">
        <v>108</v>
      </c>
      <c r="AR255">
        <v>128</v>
      </c>
      <c r="AZ255">
        <v>300</v>
      </c>
      <c r="BA255">
        <v>1</v>
      </c>
      <c r="BB255" t="str">
        <f t="shared" si="11"/>
        <v xml:space="preserve">N162AM  </v>
      </c>
      <c r="BC255">
        <v>1</v>
      </c>
      <c r="BE255">
        <v>0</v>
      </c>
      <c r="BF255">
        <v>0</v>
      </c>
      <c r="BG255">
        <v>0</v>
      </c>
      <c r="BH255">
        <v>1900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>"14:43:36.375"</f>
        <v>14:43:36.375</v>
      </c>
      <c r="CJ255">
        <v>3</v>
      </c>
      <c r="CK255">
        <v>2</v>
      </c>
      <c r="CL255">
        <v>0</v>
      </c>
      <c r="CM255">
        <v>2</v>
      </c>
      <c r="CN255">
        <v>0</v>
      </c>
      <c r="CO255">
        <v>5</v>
      </c>
      <c r="CP255" t="s">
        <v>119</v>
      </c>
      <c r="CQ255">
        <v>232</v>
      </c>
      <c r="CR255">
        <v>1</v>
      </c>
      <c r="CW255">
        <v>14909726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1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"12/16/2021 14:43:37.646"</f>
        <v>12/16/2021 14:43:37.646</v>
      </c>
      <c r="C256" t="str">
        <f t="shared" si="10"/>
        <v>FFDFD3C0</v>
      </c>
      <c r="D256" t="s">
        <v>113</v>
      </c>
      <c r="E256">
        <v>8</v>
      </c>
      <c r="H256">
        <v>176</v>
      </c>
      <c r="I256" t="s">
        <v>114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"14:43:37.453"</f>
        <v>14:43:37.453</v>
      </c>
      <c r="T256" t="str">
        <f>"14:43:37.053"</f>
        <v>14:43:37.053</v>
      </c>
      <c r="U256" t="str">
        <f t="shared" si="9"/>
        <v>A0F928</v>
      </c>
      <c r="V256">
        <v>0</v>
      </c>
      <c r="W256">
        <v>0</v>
      </c>
      <c r="X256">
        <v>2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1</v>
      </c>
      <c r="AI256" t="s">
        <v>251</v>
      </c>
      <c r="AJ256">
        <v>35.779252</v>
      </c>
      <c r="AK256" t="s">
        <v>252</v>
      </c>
      <c r="AL256">
        <v>-83.985972000000004</v>
      </c>
      <c r="AM256">
        <v>25</v>
      </c>
      <c r="AN256">
        <v>1625</v>
      </c>
      <c r="AO256" t="s">
        <v>118</v>
      </c>
      <c r="AP256">
        <v>96</v>
      </c>
      <c r="AQ256">
        <v>110</v>
      </c>
      <c r="AR256">
        <v>128</v>
      </c>
      <c r="AZ256">
        <v>300</v>
      </c>
      <c r="BA256">
        <v>1</v>
      </c>
      <c r="BB256" t="str">
        <f t="shared" si="11"/>
        <v xml:space="preserve">N162AM  </v>
      </c>
      <c r="BC256">
        <v>1</v>
      </c>
      <c r="BE256">
        <v>0</v>
      </c>
      <c r="BF256">
        <v>0</v>
      </c>
      <c r="BG256">
        <v>0</v>
      </c>
      <c r="BH256">
        <v>1900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>"14:43:37.454"</f>
        <v>14:43:37.454</v>
      </c>
      <c r="CJ256">
        <v>3</v>
      </c>
      <c r="CK256">
        <v>2</v>
      </c>
      <c r="CL256">
        <v>0</v>
      </c>
      <c r="CM256">
        <v>2</v>
      </c>
      <c r="CN256">
        <v>0</v>
      </c>
      <c r="CO256">
        <v>5</v>
      </c>
      <c r="CP256" t="s">
        <v>119</v>
      </c>
      <c r="CQ256">
        <v>232</v>
      </c>
      <c r="CR256">
        <v>1</v>
      </c>
      <c r="CW256">
        <v>14911389</v>
      </c>
      <c r="CY256">
        <v>1</v>
      </c>
      <c r="CZ256">
        <v>0</v>
      </c>
      <c r="DA256">
        <v>0</v>
      </c>
      <c r="DB256">
        <v>0</v>
      </c>
      <c r="DC256">
        <v>0</v>
      </c>
      <c r="DD256">
        <v>1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"12/16/2021 14:43:37.677"</f>
        <v>12/16/2021 14:43:37.677</v>
      </c>
      <c r="C257" t="str">
        <f t="shared" si="10"/>
        <v>FFDFD3C0</v>
      </c>
      <c r="D257" t="s">
        <v>133</v>
      </c>
      <c r="E257">
        <v>44</v>
      </c>
      <c r="H257">
        <v>131</v>
      </c>
      <c r="I257" t="s">
        <v>134</v>
      </c>
      <c r="J257" t="s">
        <v>135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"14:43:37.453"</f>
        <v>14:43:37.453</v>
      </c>
      <c r="T257" t="str">
        <f>"14:43:37.053"</f>
        <v>14:43:37.053</v>
      </c>
      <c r="U257" t="str">
        <f t="shared" si="9"/>
        <v>A0F928</v>
      </c>
      <c r="V257">
        <v>0</v>
      </c>
      <c r="W257">
        <v>0</v>
      </c>
      <c r="X257">
        <v>2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1</v>
      </c>
      <c r="AI257" t="s">
        <v>251</v>
      </c>
      <c r="AJ257">
        <v>35.779252</v>
      </c>
      <c r="AK257" t="s">
        <v>252</v>
      </c>
      <c r="AL257">
        <v>-83.985972000000004</v>
      </c>
      <c r="AM257">
        <v>25</v>
      </c>
      <c r="AN257">
        <v>1625</v>
      </c>
      <c r="AO257" t="s">
        <v>118</v>
      </c>
      <c r="AP257">
        <v>96</v>
      </c>
      <c r="AQ257">
        <v>110</v>
      </c>
      <c r="AR257">
        <v>128</v>
      </c>
      <c r="AZ257">
        <v>300</v>
      </c>
      <c r="BA257">
        <v>1</v>
      </c>
      <c r="BB257" t="str">
        <f t="shared" si="11"/>
        <v xml:space="preserve">N162AM  </v>
      </c>
      <c r="BC257">
        <v>1</v>
      </c>
      <c r="BE257">
        <v>0</v>
      </c>
      <c r="BF257">
        <v>0</v>
      </c>
      <c r="BG257">
        <v>0</v>
      </c>
      <c r="BH257">
        <v>1900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>"14:43:37.454"</f>
        <v>14:43:37.454</v>
      </c>
      <c r="CJ257">
        <v>3</v>
      </c>
      <c r="CK257">
        <v>2</v>
      </c>
      <c r="CL257">
        <v>0</v>
      </c>
      <c r="CM257">
        <v>2</v>
      </c>
      <c r="CN257">
        <v>0</v>
      </c>
      <c r="CO257">
        <v>5</v>
      </c>
      <c r="CP257" t="s">
        <v>119</v>
      </c>
      <c r="CQ257">
        <v>232</v>
      </c>
      <c r="CR257">
        <v>1</v>
      </c>
      <c r="CW257">
        <v>14911389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1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"12/16/2021 14:43:37.677"</f>
        <v>12/16/2021 14:43:37.677</v>
      </c>
      <c r="C258" t="str">
        <f t="shared" si="10"/>
        <v>FFDFD3C0</v>
      </c>
      <c r="D258" t="s">
        <v>124</v>
      </c>
      <c r="E258">
        <v>10</v>
      </c>
      <c r="F258">
        <v>1010</v>
      </c>
      <c r="G258" t="s">
        <v>130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"14:43:37.453"</f>
        <v>14:43:37.453</v>
      </c>
      <c r="T258" t="str">
        <f>"14:43:37.053"</f>
        <v>14:43:37.053</v>
      </c>
      <c r="U258" t="str">
        <f t="shared" ref="U258:U321" si="12">"A0F928"</f>
        <v>A0F928</v>
      </c>
      <c r="V258">
        <v>0</v>
      </c>
      <c r="W258">
        <v>0</v>
      </c>
      <c r="X258">
        <v>2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1</v>
      </c>
      <c r="AI258" t="s">
        <v>251</v>
      </c>
      <c r="AJ258">
        <v>35.779252</v>
      </c>
      <c r="AK258" t="s">
        <v>252</v>
      </c>
      <c r="AL258">
        <v>-83.985972000000004</v>
      </c>
      <c r="AM258">
        <v>25</v>
      </c>
      <c r="AN258">
        <v>1625</v>
      </c>
      <c r="AO258" t="s">
        <v>118</v>
      </c>
      <c r="AP258">
        <v>96</v>
      </c>
      <c r="AQ258">
        <v>110</v>
      </c>
      <c r="AR258">
        <v>128</v>
      </c>
      <c r="AZ258">
        <v>300</v>
      </c>
      <c r="BA258">
        <v>1</v>
      </c>
      <c r="BB258" t="str">
        <f t="shared" si="11"/>
        <v xml:space="preserve">N162AM  </v>
      </c>
      <c r="BC258">
        <v>1</v>
      </c>
      <c r="BE258">
        <v>0</v>
      </c>
      <c r="BF258">
        <v>0</v>
      </c>
      <c r="BG258">
        <v>0</v>
      </c>
      <c r="BH258">
        <v>1900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>"14:43:37.454"</f>
        <v>14:43:37.454</v>
      </c>
      <c r="CJ258">
        <v>3</v>
      </c>
      <c r="CK258">
        <v>2</v>
      </c>
      <c r="CL258">
        <v>0</v>
      </c>
      <c r="CM258">
        <v>2</v>
      </c>
      <c r="CN258">
        <v>0</v>
      </c>
      <c r="CO258">
        <v>5</v>
      </c>
      <c r="CP258" t="s">
        <v>119</v>
      </c>
      <c r="CQ258">
        <v>232</v>
      </c>
      <c r="CR258">
        <v>1</v>
      </c>
      <c r="CW258">
        <v>14911389</v>
      </c>
      <c r="CY258">
        <v>1</v>
      </c>
      <c r="CZ258">
        <v>0</v>
      </c>
      <c r="DA258">
        <v>1</v>
      </c>
      <c r="DB258">
        <v>0</v>
      </c>
      <c r="DC258">
        <v>0</v>
      </c>
      <c r="DD258">
        <v>1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"12/16/2021 14:43:37.677"</f>
        <v>12/16/2021 14:43:37.677</v>
      </c>
      <c r="C259" t="str">
        <f t="shared" si="10"/>
        <v>FFDFD3C0</v>
      </c>
      <c r="D259" t="s">
        <v>124</v>
      </c>
      <c r="E259">
        <v>5</v>
      </c>
      <c r="F259">
        <v>1005</v>
      </c>
      <c r="G259" t="s">
        <v>114</v>
      </c>
      <c r="J259" t="s">
        <v>125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"14:43:37.453"</f>
        <v>14:43:37.453</v>
      </c>
      <c r="T259" t="str">
        <f>"14:43:37.053"</f>
        <v>14:43:37.053</v>
      </c>
      <c r="U259" t="str">
        <f t="shared" si="12"/>
        <v>A0F928</v>
      </c>
      <c r="V259">
        <v>0</v>
      </c>
      <c r="W259">
        <v>0</v>
      </c>
      <c r="X259">
        <v>2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1</v>
      </c>
      <c r="AI259" t="s">
        <v>251</v>
      </c>
      <c r="AJ259">
        <v>35.779252</v>
      </c>
      <c r="AK259" t="s">
        <v>252</v>
      </c>
      <c r="AL259">
        <v>-83.985972000000004</v>
      </c>
      <c r="AM259">
        <v>25</v>
      </c>
      <c r="AN259">
        <v>1625</v>
      </c>
      <c r="AO259" t="s">
        <v>118</v>
      </c>
      <c r="AP259">
        <v>96</v>
      </c>
      <c r="AQ259">
        <v>110</v>
      </c>
      <c r="AR259">
        <v>128</v>
      </c>
      <c r="AZ259">
        <v>300</v>
      </c>
      <c r="BA259">
        <v>1</v>
      </c>
      <c r="BB259" t="str">
        <f t="shared" si="11"/>
        <v xml:space="preserve">N162AM  </v>
      </c>
      <c r="BC259">
        <v>1</v>
      </c>
      <c r="BE259">
        <v>0</v>
      </c>
      <c r="BF259">
        <v>0</v>
      </c>
      <c r="BG259">
        <v>0</v>
      </c>
      <c r="BH259">
        <v>1900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>"14:43:37.454"</f>
        <v>14:43:37.454</v>
      </c>
      <c r="CJ259">
        <v>3</v>
      </c>
      <c r="CK259">
        <v>2</v>
      </c>
      <c r="CL259">
        <v>0</v>
      </c>
      <c r="CM259">
        <v>2</v>
      </c>
      <c r="CN259">
        <v>0</v>
      </c>
      <c r="CO259">
        <v>5</v>
      </c>
      <c r="CP259" t="s">
        <v>119</v>
      </c>
      <c r="CQ259">
        <v>232</v>
      </c>
      <c r="CR259">
        <v>1</v>
      </c>
      <c r="CW259">
        <v>14911389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1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"12/16/2021 14:43:38.630"</f>
        <v>12/16/2021 14:43:38.630</v>
      </c>
      <c r="C260" t="str">
        <f t="shared" si="10"/>
        <v>FFDFD3C0</v>
      </c>
      <c r="D260" t="s">
        <v>124</v>
      </c>
      <c r="E260">
        <v>10</v>
      </c>
      <c r="F260">
        <v>1010</v>
      </c>
      <c r="G260" t="s">
        <v>130</v>
      </c>
      <c r="J260" t="s">
        <v>125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"14:43:38.422"</f>
        <v>14:43:38.422</v>
      </c>
      <c r="T260" t="str">
        <f>"14:43:38.022"</f>
        <v>14:43:38.022</v>
      </c>
      <c r="U260" t="str">
        <f t="shared" si="12"/>
        <v>A0F928</v>
      </c>
      <c r="V260">
        <v>0</v>
      </c>
      <c r="W260">
        <v>0</v>
      </c>
      <c r="X260">
        <v>2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1</v>
      </c>
      <c r="AI260" t="s">
        <v>253</v>
      </c>
      <c r="AJ260">
        <v>35.779724000000002</v>
      </c>
      <c r="AK260" t="s">
        <v>254</v>
      </c>
      <c r="AL260">
        <v>-83.985500000000002</v>
      </c>
      <c r="AM260">
        <v>25</v>
      </c>
      <c r="AN260">
        <v>1650</v>
      </c>
      <c r="AO260" t="s">
        <v>118</v>
      </c>
      <c r="AP260">
        <v>93</v>
      </c>
      <c r="AQ260">
        <v>112</v>
      </c>
      <c r="AR260">
        <v>128</v>
      </c>
      <c r="AZ260">
        <v>300</v>
      </c>
      <c r="BA260">
        <v>1</v>
      </c>
      <c r="BB260" t="str">
        <f t="shared" si="11"/>
        <v xml:space="preserve">N162AM  </v>
      </c>
      <c r="BC260">
        <v>1</v>
      </c>
      <c r="BE260">
        <v>0</v>
      </c>
      <c r="BF260">
        <v>0</v>
      </c>
      <c r="BG260">
        <v>0</v>
      </c>
      <c r="BH260">
        <v>1900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>"14:43:38.424"</f>
        <v>14:43:38.424</v>
      </c>
      <c r="CJ260">
        <v>3</v>
      </c>
      <c r="CK260">
        <v>2</v>
      </c>
      <c r="CL260">
        <v>0</v>
      </c>
      <c r="CM260">
        <v>2</v>
      </c>
      <c r="CN260">
        <v>0</v>
      </c>
      <c r="CO260">
        <v>5</v>
      </c>
      <c r="CP260" t="s">
        <v>119</v>
      </c>
      <c r="CQ260">
        <v>232</v>
      </c>
      <c r="CR260">
        <v>2</v>
      </c>
      <c r="CW260">
        <v>6110996</v>
      </c>
      <c r="CY260">
        <v>1</v>
      </c>
      <c r="CZ260">
        <v>0</v>
      </c>
      <c r="DA260">
        <v>0</v>
      </c>
      <c r="DB260">
        <v>0</v>
      </c>
      <c r="DC260">
        <v>0</v>
      </c>
      <c r="DD260">
        <v>1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"12/16/2021 14:43:38.630"</f>
        <v>12/16/2021 14:43:38.630</v>
      </c>
      <c r="C261" t="str">
        <f t="shared" si="10"/>
        <v>FFDFD3C0</v>
      </c>
      <c r="D261" t="s">
        <v>133</v>
      </c>
      <c r="E261">
        <v>44</v>
      </c>
      <c r="H261">
        <v>131</v>
      </c>
      <c r="I261" t="s">
        <v>134</v>
      </c>
      <c r="J261" t="s">
        <v>135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"14:43:38.422"</f>
        <v>14:43:38.422</v>
      </c>
      <c r="T261" t="str">
        <f>"14:43:38.022"</f>
        <v>14:43:38.022</v>
      </c>
      <c r="U261" t="str">
        <f t="shared" si="12"/>
        <v>A0F928</v>
      </c>
      <c r="V261">
        <v>0</v>
      </c>
      <c r="W261">
        <v>0</v>
      </c>
      <c r="X261">
        <v>2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1</v>
      </c>
      <c r="AI261" t="s">
        <v>253</v>
      </c>
      <c r="AJ261">
        <v>35.779724000000002</v>
      </c>
      <c r="AK261" t="s">
        <v>254</v>
      </c>
      <c r="AL261">
        <v>-83.985500000000002</v>
      </c>
      <c r="AM261">
        <v>25</v>
      </c>
      <c r="AN261">
        <v>1650</v>
      </c>
      <c r="AO261" t="s">
        <v>118</v>
      </c>
      <c r="AP261">
        <v>93</v>
      </c>
      <c r="AQ261">
        <v>112</v>
      </c>
      <c r="AR261">
        <v>128</v>
      </c>
      <c r="AZ261">
        <v>300</v>
      </c>
      <c r="BA261">
        <v>1</v>
      </c>
      <c r="BB261" t="str">
        <f t="shared" si="11"/>
        <v xml:space="preserve">N162AM  </v>
      </c>
      <c r="BC261">
        <v>1</v>
      </c>
      <c r="BE261">
        <v>0</v>
      </c>
      <c r="BF261">
        <v>0</v>
      </c>
      <c r="BG261">
        <v>0</v>
      </c>
      <c r="BH261">
        <v>1900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>"14:43:38.424"</f>
        <v>14:43:38.424</v>
      </c>
      <c r="CJ261">
        <v>3</v>
      </c>
      <c r="CK261">
        <v>2</v>
      </c>
      <c r="CL261">
        <v>0</v>
      </c>
      <c r="CM261">
        <v>2</v>
      </c>
      <c r="CN261">
        <v>0</v>
      </c>
      <c r="CO261">
        <v>5</v>
      </c>
      <c r="CP261" t="s">
        <v>119</v>
      </c>
      <c r="CQ261">
        <v>232</v>
      </c>
      <c r="CR261">
        <v>2</v>
      </c>
      <c r="CW261">
        <v>6110996</v>
      </c>
      <c r="CY261">
        <v>1</v>
      </c>
      <c r="CZ261">
        <v>0</v>
      </c>
      <c r="DA261">
        <v>1</v>
      </c>
      <c r="DB261">
        <v>0</v>
      </c>
      <c r="DC261">
        <v>0</v>
      </c>
      <c r="DD261">
        <v>1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"12/16/2021 14:43:38.630"</f>
        <v>12/16/2021 14:43:38.630</v>
      </c>
      <c r="C262" t="str">
        <f t="shared" si="10"/>
        <v>FFDFD3C0</v>
      </c>
      <c r="D262" t="s">
        <v>113</v>
      </c>
      <c r="E262">
        <v>8</v>
      </c>
      <c r="H262">
        <v>176</v>
      </c>
      <c r="I262" t="s">
        <v>114</v>
      </c>
      <c r="J262" t="s">
        <v>115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"14:43:38.422"</f>
        <v>14:43:38.422</v>
      </c>
      <c r="T262" t="str">
        <f>"14:43:38.022"</f>
        <v>14:43:38.022</v>
      </c>
      <c r="U262" t="str">
        <f t="shared" si="12"/>
        <v>A0F928</v>
      </c>
      <c r="V262">
        <v>0</v>
      </c>
      <c r="W262">
        <v>0</v>
      </c>
      <c r="X262">
        <v>2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1</v>
      </c>
      <c r="AI262" t="s">
        <v>253</v>
      </c>
      <c r="AJ262">
        <v>35.779724000000002</v>
      </c>
      <c r="AK262" t="s">
        <v>254</v>
      </c>
      <c r="AL262">
        <v>-83.985500000000002</v>
      </c>
      <c r="AM262">
        <v>25</v>
      </c>
      <c r="AN262">
        <v>1650</v>
      </c>
      <c r="AO262" t="s">
        <v>118</v>
      </c>
      <c r="AP262">
        <v>93</v>
      </c>
      <c r="AQ262">
        <v>112</v>
      </c>
      <c r="AR262">
        <v>128</v>
      </c>
      <c r="AZ262">
        <v>300</v>
      </c>
      <c r="BA262">
        <v>1</v>
      </c>
      <c r="BB262" t="str">
        <f t="shared" si="11"/>
        <v xml:space="preserve">N162AM  </v>
      </c>
      <c r="BC262">
        <v>1</v>
      </c>
      <c r="BE262">
        <v>0</v>
      </c>
      <c r="BF262">
        <v>0</v>
      </c>
      <c r="BG262">
        <v>0</v>
      </c>
      <c r="BH262">
        <v>1900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>"14:43:38.424"</f>
        <v>14:43:38.424</v>
      </c>
      <c r="CJ262">
        <v>3</v>
      </c>
      <c r="CK262">
        <v>2</v>
      </c>
      <c r="CL262">
        <v>0</v>
      </c>
      <c r="CM262">
        <v>2</v>
      </c>
      <c r="CN262">
        <v>0</v>
      </c>
      <c r="CO262">
        <v>5</v>
      </c>
      <c r="CP262" t="s">
        <v>119</v>
      </c>
      <c r="CQ262">
        <v>232</v>
      </c>
      <c r="CR262">
        <v>2</v>
      </c>
      <c r="CW262">
        <v>6110996</v>
      </c>
      <c r="CY262">
        <v>1</v>
      </c>
      <c r="CZ262">
        <v>0</v>
      </c>
      <c r="DA262">
        <v>1</v>
      </c>
      <c r="DB262">
        <v>0</v>
      </c>
      <c r="DC262">
        <v>0</v>
      </c>
      <c r="DD262">
        <v>1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"12/16/2021 14:43:38.630"</f>
        <v>12/16/2021 14:43:38.630</v>
      </c>
      <c r="C263" t="str">
        <f t="shared" si="10"/>
        <v>FFDFD3C0</v>
      </c>
      <c r="D263" t="s">
        <v>124</v>
      </c>
      <c r="E263">
        <v>5</v>
      </c>
      <c r="F263">
        <v>1005</v>
      </c>
      <c r="G263" t="s">
        <v>114</v>
      </c>
      <c r="J263" t="s">
        <v>125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"14:43:38.422"</f>
        <v>14:43:38.422</v>
      </c>
      <c r="T263" t="str">
        <f>"14:43:38.022"</f>
        <v>14:43:38.022</v>
      </c>
      <c r="U263" t="str">
        <f t="shared" si="12"/>
        <v>A0F928</v>
      </c>
      <c r="V263">
        <v>0</v>
      </c>
      <c r="W263">
        <v>0</v>
      </c>
      <c r="X263">
        <v>2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1</v>
      </c>
      <c r="AI263" t="s">
        <v>253</v>
      </c>
      <c r="AJ263">
        <v>35.779724000000002</v>
      </c>
      <c r="AK263" t="s">
        <v>254</v>
      </c>
      <c r="AL263">
        <v>-83.985500000000002</v>
      </c>
      <c r="AM263">
        <v>25</v>
      </c>
      <c r="AN263">
        <v>1650</v>
      </c>
      <c r="AO263" t="s">
        <v>118</v>
      </c>
      <c r="AP263">
        <v>93</v>
      </c>
      <c r="AQ263">
        <v>112</v>
      </c>
      <c r="AR263">
        <v>128</v>
      </c>
      <c r="AZ263">
        <v>300</v>
      </c>
      <c r="BA263">
        <v>1</v>
      </c>
      <c r="BB263" t="str">
        <f t="shared" si="11"/>
        <v xml:space="preserve">N162AM  </v>
      </c>
      <c r="BC263">
        <v>1</v>
      </c>
      <c r="BE263">
        <v>0</v>
      </c>
      <c r="BF263">
        <v>0</v>
      </c>
      <c r="BG263">
        <v>0</v>
      </c>
      <c r="BH263">
        <v>1900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>"14:43:38.424"</f>
        <v>14:43:38.424</v>
      </c>
      <c r="CJ263">
        <v>3</v>
      </c>
      <c r="CK263">
        <v>2</v>
      </c>
      <c r="CL263">
        <v>0</v>
      </c>
      <c r="CM263">
        <v>2</v>
      </c>
      <c r="CN263">
        <v>0</v>
      </c>
      <c r="CO263">
        <v>5</v>
      </c>
      <c r="CP263" t="s">
        <v>119</v>
      </c>
      <c r="CQ263">
        <v>232</v>
      </c>
      <c r="CR263">
        <v>2</v>
      </c>
      <c r="CW263">
        <v>6110996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1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"12/16/2021 14:43:39.555"</f>
        <v>12/16/2021 14:43:39.555</v>
      </c>
      <c r="C264" t="str">
        <f t="shared" si="10"/>
        <v>FFDFD3C0</v>
      </c>
      <c r="D264" t="s">
        <v>124</v>
      </c>
      <c r="E264">
        <v>5</v>
      </c>
      <c r="F264">
        <v>1005</v>
      </c>
      <c r="G264" t="s">
        <v>114</v>
      </c>
      <c r="J264" t="s">
        <v>125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"14:43:39.352"</f>
        <v>14:43:39.352</v>
      </c>
      <c r="T264" t="str">
        <f>"14:43:38.952"</f>
        <v>14:43:38.952</v>
      </c>
      <c r="U264" t="str">
        <f t="shared" si="12"/>
        <v>A0F928</v>
      </c>
      <c r="V264">
        <v>0</v>
      </c>
      <c r="W264">
        <v>0</v>
      </c>
      <c r="X264">
        <v>2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1</v>
      </c>
      <c r="AI264" t="s">
        <v>255</v>
      </c>
      <c r="AJ264">
        <v>35.780282</v>
      </c>
      <c r="AK264" t="s">
        <v>256</v>
      </c>
      <c r="AL264">
        <v>-83.984984999999995</v>
      </c>
      <c r="AM264">
        <v>25</v>
      </c>
      <c r="AN264">
        <v>1650</v>
      </c>
      <c r="AO264" t="s">
        <v>118</v>
      </c>
      <c r="AP264">
        <v>92</v>
      </c>
      <c r="AQ264">
        <v>113</v>
      </c>
      <c r="AR264">
        <v>64</v>
      </c>
      <c r="AZ264">
        <v>300</v>
      </c>
      <c r="BA264">
        <v>1</v>
      </c>
      <c r="BB264" t="str">
        <f t="shared" si="11"/>
        <v xml:space="preserve">N162AM  </v>
      </c>
      <c r="BC264">
        <v>1</v>
      </c>
      <c r="BE264">
        <v>0</v>
      </c>
      <c r="BF264">
        <v>0</v>
      </c>
      <c r="BG264">
        <v>0</v>
      </c>
      <c r="BH264">
        <v>1900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>"14:43:39.357"</f>
        <v>14:43:39.357</v>
      </c>
      <c r="CJ264">
        <v>3</v>
      </c>
      <c r="CK264">
        <v>2</v>
      </c>
      <c r="CL264">
        <v>0</v>
      </c>
      <c r="CM264">
        <v>2</v>
      </c>
      <c r="CN264">
        <v>0</v>
      </c>
      <c r="CO264">
        <v>6</v>
      </c>
      <c r="CP264" t="s">
        <v>119</v>
      </c>
      <c r="CQ264">
        <v>232</v>
      </c>
      <c r="CR264">
        <v>2</v>
      </c>
      <c r="CW264">
        <v>6112501</v>
      </c>
      <c r="CY264">
        <v>1</v>
      </c>
      <c r="CZ264">
        <v>0</v>
      </c>
      <c r="DA264">
        <v>0</v>
      </c>
      <c r="DB264">
        <v>0</v>
      </c>
      <c r="DC264">
        <v>0</v>
      </c>
      <c r="DD264">
        <v>1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"12/16/2021 14:43:39.555"</f>
        <v>12/16/2021 14:43:39.555</v>
      </c>
      <c r="C265" t="str">
        <f t="shared" si="10"/>
        <v>FFDFD3C0</v>
      </c>
      <c r="D265" t="s">
        <v>113</v>
      </c>
      <c r="E265">
        <v>8</v>
      </c>
      <c r="H265">
        <v>176</v>
      </c>
      <c r="I265" t="s">
        <v>114</v>
      </c>
      <c r="J265" t="s">
        <v>115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"14:43:39.352"</f>
        <v>14:43:39.352</v>
      </c>
      <c r="T265" t="str">
        <f>"14:43:38.952"</f>
        <v>14:43:38.952</v>
      </c>
      <c r="U265" t="str">
        <f t="shared" si="12"/>
        <v>A0F928</v>
      </c>
      <c r="V265">
        <v>0</v>
      </c>
      <c r="W265">
        <v>0</v>
      </c>
      <c r="X265">
        <v>2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1</v>
      </c>
      <c r="AI265" t="s">
        <v>255</v>
      </c>
      <c r="AJ265">
        <v>35.780282</v>
      </c>
      <c r="AK265" t="s">
        <v>256</v>
      </c>
      <c r="AL265">
        <v>-83.984984999999995</v>
      </c>
      <c r="AM265">
        <v>25</v>
      </c>
      <c r="AN265">
        <v>1650</v>
      </c>
      <c r="AO265" t="s">
        <v>118</v>
      </c>
      <c r="AP265">
        <v>92</v>
      </c>
      <c r="AQ265">
        <v>113</v>
      </c>
      <c r="AR265">
        <v>64</v>
      </c>
      <c r="AZ265">
        <v>300</v>
      </c>
      <c r="BA265">
        <v>1</v>
      </c>
      <c r="BB265" t="str">
        <f t="shared" si="11"/>
        <v xml:space="preserve">N162AM  </v>
      </c>
      <c r="BC265">
        <v>1</v>
      </c>
      <c r="BE265">
        <v>0</v>
      </c>
      <c r="BF265">
        <v>0</v>
      </c>
      <c r="BG265">
        <v>0</v>
      </c>
      <c r="BH265">
        <v>1900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>"14:43:39.357"</f>
        <v>14:43:39.357</v>
      </c>
      <c r="CJ265">
        <v>3</v>
      </c>
      <c r="CK265">
        <v>2</v>
      </c>
      <c r="CL265">
        <v>0</v>
      </c>
      <c r="CM265">
        <v>2</v>
      </c>
      <c r="CN265">
        <v>0</v>
      </c>
      <c r="CO265">
        <v>6</v>
      </c>
      <c r="CP265" t="s">
        <v>119</v>
      </c>
      <c r="CQ265">
        <v>232</v>
      </c>
      <c r="CR265">
        <v>2</v>
      </c>
      <c r="CW265">
        <v>6112501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1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"12/16/2021 14:43:39.563"</f>
        <v>12/16/2021 14:43:39.563</v>
      </c>
      <c r="C266" t="str">
        <f t="shared" si="10"/>
        <v>FFDFD3C0</v>
      </c>
      <c r="D266" t="s">
        <v>124</v>
      </c>
      <c r="E266">
        <v>10</v>
      </c>
      <c r="F266">
        <v>1010</v>
      </c>
      <c r="G266" t="s">
        <v>130</v>
      </c>
      <c r="J266" t="s">
        <v>125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"14:43:39.352"</f>
        <v>14:43:39.352</v>
      </c>
      <c r="T266" t="str">
        <f>"14:43:38.952"</f>
        <v>14:43:38.952</v>
      </c>
      <c r="U266" t="str">
        <f t="shared" si="12"/>
        <v>A0F928</v>
      </c>
      <c r="V266">
        <v>0</v>
      </c>
      <c r="W266">
        <v>0</v>
      </c>
      <c r="X266">
        <v>2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1</v>
      </c>
      <c r="AI266" t="s">
        <v>255</v>
      </c>
      <c r="AJ266">
        <v>35.780282</v>
      </c>
      <c r="AK266" t="s">
        <v>256</v>
      </c>
      <c r="AL266">
        <v>-83.984984999999995</v>
      </c>
      <c r="AM266">
        <v>25</v>
      </c>
      <c r="AN266">
        <v>1650</v>
      </c>
      <c r="AO266" t="s">
        <v>118</v>
      </c>
      <c r="AP266">
        <v>92</v>
      </c>
      <c r="AQ266">
        <v>113</v>
      </c>
      <c r="AR266">
        <v>64</v>
      </c>
      <c r="AZ266">
        <v>300</v>
      </c>
      <c r="BA266">
        <v>1</v>
      </c>
      <c r="BB266" t="str">
        <f t="shared" si="11"/>
        <v xml:space="preserve">N162AM  </v>
      </c>
      <c r="BC266">
        <v>1</v>
      </c>
      <c r="BE266">
        <v>0</v>
      </c>
      <c r="BF266">
        <v>0</v>
      </c>
      <c r="BG266">
        <v>0</v>
      </c>
      <c r="BH266">
        <v>1900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>"14:43:39.357"</f>
        <v>14:43:39.357</v>
      </c>
      <c r="CJ266">
        <v>3</v>
      </c>
      <c r="CK266">
        <v>2</v>
      </c>
      <c r="CL266">
        <v>0</v>
      </c>
      <c r="CM266">
        <v>2</v>
      </c>
      <c r="CN266">
        <v>0</v>
      </c>
      <c r="CO266">
        <v>6</v>
      </c>
      <c r="CP266" t="s">
        <v>119</v>
      </c>
      <c r="CQ266">
        <v>232</v>
      </c>
      <c r="CR266">
        <v>2</v>
      </c>
      <c r="CW266">
        <v>6112501</v>
      </c>
      <c r="CY266">
        <v>1</v>
      </c>
      <c r="CZ266">
        <v>0</v>
      </c>
      <c r="DA266">
        <v>1</v>
      </c>
      <c r="DB266">
        <v>0</v>
      </c>
      <c r="DC266">
        <v>0</v>
      </c>
      <c r="DD266">
        <v>1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"12/16/2021 14:43:39.590"</f>
        <v>12/16/2021 14:43:39.590</v>
      </c>
      <c r="C267" t="str">
        <f t="shared" si="10"/>
        <v>FFDFD3C0</v>
      </c>
      <c r="D267" t="s">
        <v>133</v>
      </c>
      <c r="E267">
        <v>44</v>
      </c>
      <c r="H267">
        <v>131</v>
      </c>
      <c r="I267" t="s">
        <v>134</v>
      </c>
      <c r="J267" t="s">
        <v>135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"14:43:39.352"</f>
        <v>14:43:39.352</v>
      </c>
      <c r="T267" t="str">
        <f>"14:43:38.952"</f>
        <v>14:43:38.952</v>
      </c>
      <c r="U267" t="str">
        <f t="shared" si="12"/>
        <v>A0F928</v>
      </c>
      <c r="V267">
        <v>0</v>
      </c>
      <c r="W267">
        <v>0</v>
      </c>
      <c r="X267">
        <v>2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1</v>
      </c>
      <c r="AI267" t="s">
        <v>255</v>
      </c>
      <c r="AJ267">
        <v>35.780282</v>
      </c>
      <c r="AK267" t="s">
        <v>256</v>
      </c>
      <c r="AL267">
        <v>-83.984984999999995</v>
      </c>
      <c r="AM267">
        <v>25</v>
      </c>
      <c r="AN267">
        <v>1650</v>
      </c>
      <c r="AO267" t="s">
        <v>118</v>
      </c>
      <c r="AP267">
        <v>92</v>
      </c>
      <c r="AQ267">
        <v>113</v>
      </c>
      <c r="AR267">
        <v>64</v>
      </c>
      <c r="AZ267">
        <v>300</v>
      </c>
      <c r="BA267">
        <v>1</v>
      </c>
      <c r="BB267" t="str">
        <f t="shared" si="11"/>
        <v xml:space="preserve">N162AM  </v>
      </c>
      <c r="BC267">
        <v>1</v>
      </c>
      <c r="BE267">
        <v>0</v>
      </c>
      <c r="BF267">
        <v>0</v>
      </c>
      <c r="BG267">
        <v>0</v>
      </c>
      <c r="BH267">
        <v>1900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>"14:43:39.357"</f>
        <v>14:43:39.357</v>
      </c>
      <c r="CJ267">
        <v>3</v>
      </c>
      <c r="CK267">
        <v>2</v>
      </c>
      <c r="CL267">
        <v>0</v>
      </c>
      <c r="CM267">
        <v>2</v>
      </c>
      <c r="CN267">
        <v>0</v>
      </c>
      <c r="CO267">
        <v>6</v>
      </c>
      <c r="CP267" t="s">
        <v>119</v>
      </c>
      <c r="CQ267">
        <v>232</v>
      </c>
      <c r="CR267">
        <v>2</v>
      </c>
      <c r="CW267">
        <v>6112501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1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"12/16/2021 14:43:40.537"</f>
        <v>12/16/2021 14:43:40.537</v>
      </c>
      <c r="C268" t="str">
        <f t="shared" ref="C268:C331" si="13">"FFDFD3C0"</f>
        <v>FFDFD3C0</v>
      </c>
      <c r="D268" t="s">
        <v>124</v>
      </c>
      <c r="E268">
        <v>10</v>
      </c>
      <c r="F268">
        <v>1010</v>
      </c>
      <c r="G268" t="s">
        <v>130</v>
      </c>
      <c r="J268" t="s">
        <v>125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"14:43:40.281"</f>
        <v>14:43:40.281</v>
      </c>
      <c r="T268" t="str">
        <f>"14:43:39.881"</f>
        <v>14:43:39.881</v>
      </c>
      <c r="U268" t="str">
        <f t="shared" si="12"/>
        <v>A0F928</v>
      </c>
      <c r="V268">
        <v>0</v>
      </c>
      <c r="W268">
        <v>0</v>
      </c>
      <c r="X268">
        <v>2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1</v>
      </c>
      <c r="AI268" t="s">
        <v>257</v>
      </c>
      <c r="AJ268">
        <v>35.780754000000002</v>
      </c>
      <c r="AK268" t="s">
        <v>258</v>
      </c>
      <c r="AL268">
        <v>-83.984513000000007</v>
      </c>
      <c r="AM268">
        <v>25</v>
      </c>
      <c r="AN268">
        <v>1650</v>
      </c>
      <c r="AO268" t="s">
        <v>118</v>
      </c>
      <c r="AP268">
        <v>91</v>
      </c>
      <c r="AQ268">
        <v>113</v>
      </c>
      <c r="AR268">
        <v>64</v>
      </c>
      <c r="AZ268">
        <v>300</v>
      </c>
      <c r="BA268">
        <v>1</v>
      </c>
      <c r="BB268" t="str">
        <f t="shared" ref="BB268:BB331" si="14">"N162AM  "</f>
        <v xml:space="preserve">N162AM  </v>
      </c>
      <c r="BC268">
        <v>1</v>
      </c>
      <c r="BE268">
        <v>0</v>
      </c>
      <c r="BF268">
        <v>0</v>
      </c>
      <c r="BG268">
        <v>0</v>
      </c>
      <c r="BH268">
        <v>1900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>"14:43:40.284"</f>
        <v>14:43:40.284</v>
      </c>
      <c r="CJ268">
        <v>3</v>
      </c>
      <c r="CK268">
        <v>2</v>
      </c>
      <c r="CL268">
        <v>0</v>
      </c>
      <c r="CM268">
        <v>2</v>
      </c>
      <c r="CN268">
        <v>0</v>
      </c>
      <c r="CO268">
        <v>6</v>
      </c>
      <c r="CP268" t="s">
        <v>119</v>
      </c>
      <c r="CQ268">
        <v>232</v>
      </c>
      <c r="CR268">
        <v>1</v>
      </c>
      <c r="CW268">
        <v>14915971</v>
      </c>
      <c r="CY268">
        <v>1</v>
      </c>
      <c r="CZ268">
        <v>0</v>
      </c>
      <c r="DA268">
        <v>0</v>
      </c>
      <c r="DB268">
        <v>0</v>
      </c>
      <c r="DC268">
        <v>0</v>
      </c>
      <c r="DD268">
        <v>1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"12/16/2021 14:43:40.537"</f>
        <v>12/16/2021 14:43:40.537</v>
      </c>
      <c r="C269" t="str">
        <f t="shared" si="13"/>
        <v>FFDFD3C0</v>
      </c>
      <c r="D269" t="s">
        <v>133</v>
      </c>
      <c r="E269">
        <v>44</v>
      </c>
      <c r="H269">
        <v>131</v>
      </c>
      <c r="I269" t="s">
        <v>134</v>
      </c>
      <c r="J269" t="s">
        <v>135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"14:43:40.281"</f>
        <v>14:43:40.281</v>
      </c>
      <c r="T269" t="str">
        <f>"14:43:39.881"</f>
        <v>14:43:39.881</v>
      </c>
      <c r="U269" t="str">
        <f t="shared" si="12"/>
        <v>A0F928</v>
      </c>
      <c r="V269">
        <v>0</v>
      </c>
      <c r="W269">
        <v>0</v>
      </c>
      <c r="X269">
        <v>2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1</v>
      </c>
      <c r="AI269" t="s">
        <v>257</v>
      </c>
      <c r="AJ269">
        <v>35.780754000000002</v>
      </c>
      <c r="AK269" t="s">
        <v>258</v>
      </c>
      <c r="AL269">
        <v>-83.984513000000007</v>
      </c>
      <c r="AM269">
        <v>25</v>
      </c>
      <c r="AN269">
        <v>1650</v>
      </c>
      <c r="AO269" t="s">
        <v>118</v>
      </c>
      <c r="AP269">
        <v>91</v>
      </c>
      <c r="AQ269">
        <v>113</v>
      </c>
      <c r="AR269">
        <v>64</v>
      </c>
      <c r="AZ269">
        <v>300</v>
      </c>
      <c r="BA269">
        <v>1</v>
      </c>
      <c r="BB269" t="str">
        <f t="shared" si="14"/>
        <v xml:space="preserve">N162AM  </v>
      </c>
      <c r="BC269">
        <v>1</v>
      </c>
      <c r="BE269">
        <v>0</v>
      </c>
      <c r="BF269">
        <v>0</v>
      </c>
      <c r="BG269">
        <v>0</v>
      </c>
      <c r="BH269">
        <v>1900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>"14:43:40.284"</f>
        <v>14:43:40.284</v>
      </c>
      <c r="CJ269">
        <v>3</v>
      </c>
      <c r="CK269">
        <v>2</v>
      </c>
      <c r="CL269">
        <v>0</v>
      </c>
      <c r="CM269">
        <v>2</v>
      </c>
      <c r="CN269">
        <v>0</v>
      </c>
      <c r="CO269">
        <v>6</v>
      </c>
      <c r="CP269" t="s">
        <v>119</v>
      </c>
      <c r="CQ269">
        <v>232</v>
      </c>
      <c r="CR269">
        <v>1</v>
      </c>
      <c r="CW269">
        <v>14915971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1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"12/16/2021 14:43:40.537"</f>
        <v>12/16/2021 14:43:40.537</v>
      </c>
      <c r="C270" t="str">
        <f t="shared" si="13"/>
        <v>FFDFD3C0</v>
      </c>
      <c r="D270" t="s">
        <v>124</v>
      </c>
      <c r="E270">
        <v>5</v>
      </c>
      <c r="F270">
        <v>1005</v>
      </c>
      <c r="G270" t="s">
        <v>114</v>
      </c>
      <c r="J270" t="s">
        <v>125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"14:43:40.281"</f>
        <v>14:43:40.281</v>
      </c>
      <c r="T270" t="str">
        <f>"14:43:39.881"</f>
        <v>14:43:39.881</v>
      </c>
      <c r="U270" t="str">
        <f t="shared" si="12"/>
        <v>A0F928</v>
      </c>
      <c r="V270">
        <v>0</v>
      </c>
      <c r="W270">
        <v>0</v>
      </c>
      <c r="X270">
        <v>2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1</v>
      </c>
      <c r="AI270" t="s">
        <v>257</v>
      </c>
      <c r="AJ270">
        <v>35.780754000000002</v>
      </c>
      <c r="AK270" t="s">
        <v>258</v>
      </c>
      <c r="AL270">
        <v>-83.984513000000007</v>
      </c>
      <c r="AM270">
        <v>25</v>
      </c>
      <c r="AN270">
        <v>1650</v>
      </c>
      <c r="AO270" t="s">
        <v>118</v>
      </c>
      <c r="AP270">
        <v>91</v>
      </c>
      <c r="AQ270">
        <v>113</v>
      </c>
      <c r="AR270">
        <v>64</v>
      </c>
      <c r="AZ270">
        <v>300</v>
      </c>
      <c r="BA270">
        <v>1</v>
      </c>
      <c r="BB270" t="str">
        <f t="shared" si="14"/>
        <v xml:space="preserve">N162AM  </v>
      </c>
      <c r="BC270">
        <v>1</v>
      </c>
      <c r="BE270">
        <v>0</v>
      </c>
      <c r="BF270">
        <v>0</v>
      </c>
      <c r="BG270">
        <v>0</v>
      </c>
      <c r="BH270">
        <v>1900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>"14:43:40.284"</f>
        <v>14:43:40.284</v>
      </c>
      <c r="CJ270">
        <v>3</v>
      </c>
      <c r="CK270">
        <v>2</v>
      </c>
      <c r="CL270">
        <v>0</v>
      </c>
      <c r="CM270">
        <v>2</v>
      </c>
      <c r="CN270">
        <v>0</v>
      </c>
      <c r="CO270">
        <v>6</v>
      </c>
      <c r="CP270" t="s">
        <v>119</v>
      </c>
      <c r="CQ270">
        <v>232</v>
      </c>
      <c r="CR270">
        <v>1</v>
      </c>
      <c r="CW270">
        <v>14915971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1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"12/16/2021 14:43:40.537"</f>
        <v>12/16/2021 14:43:40.537</v>
      </c>
      <c r="C271" t="str">
        <f t="shared" si="13"/>
        <v>FFDFD3C0</v>
      </c>
      <c r="D271" t="s">
        <v>113</v>
      </c>
      <c r="E271">
        <v>8</v>
      </c>
      <c r="H271">
        <v>176</v>
      </c>
      <c r="I271" t="s">
        <v>114</v>
      </c>
      <c r="J271" t="s">
        <v>115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"14:43:40.281"</f>
        <v>14:43:40.281</v>
      </c>
      <c r="T271" t="str">
        <f>"14:43:39.881"</f>
        <v>14:43:39.881</v>
      </c>
      <c r="U271" t="str">
        <f t="shared" si="12"/>
        <v>A0F928</v>
      </c>
      <c r="V271">
        <v>0</v>
      </c>
      <c r="W271">
        <v>0</v>
      </c>
      <c r="X271">
        <v>2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1</v>
      </c>
      <c r="AI271" t="s">
        <v>257</v>
      </c>
      <c r="AJ271">
        <v>35.780754000000002</v>
      </c>
      <c r="AK271" t="s">
        <v>258</v>
      </c>
      <c r="AL271">
        <v>-83.984513000000007</v>
      </c>
      <c r="AM271">
        <v>25</v>
      </c>
      <c r="AN271">
        <v>1650</v>
      </c>
      <c r="AO271" t="s">
        <v>118</v>
      </c>
      <c r="AP271">
        <v>91</v>
      </c>
      <c r="AQ271">
        <v>113</v>
      </c>
      <c r="AR271">
        <v>64</v>
      </c>
      <c r="AZ271">
        <v>300</v>
      </c>
      <c r="BA271">
        <v>1</v>
      </c>
      <c r="BB271" t="str">
        <f t="shared" si="14"/>
        <v xml:space="preserve">N162AM  </v>
      </c>
      <c r="BC271">
        <v>1</v>
      </c>
      <c r="BE271">
        <v>0</v>
      </c>
      <c r="BF271">
        <v>0</v>
      </c>
      <c r="BG271">
        <v>0</v>
      </c>
      <c r="BH271">
        <v>1900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>"14:43:40.284"</f>
        <v>14:43:40.284</v>
      </c>
      <c r="CJ271">
        <v>3</v>
      </c>
      <c r="CK271">
        <v>2</v>
      </c>
      <c r="CL271">
        <v>0</v>
      </c>
      <c r="CM271">
        <v>2</v>
      </c>
      <c r="CN271">
        <v>0</v>
      </c>
      <c r="CO271">
        <v>6</v>
      </c>
      <c r="CP271" t="s">
        <v>119</v>
      </c>
      <c r="CQ271">
        <v>232</v>
      </c>
      <c r="CR271">
        <v>1</v>
      </c>
      <c r="CW271">
        <v>14915971</v>
      </c>
      <c r="CY271">
        <v>1</v>
      </c>
      <c r="CZ271">
        <v>0</v>
      </c>
      <c r="DA271">
        <v>1</v>
      </c>
      <c r="DB271">
        <v>0</v>
      </c>
      <c r="DC271">
        <v>0</v>
      </c>
      <c r="DD271">
        <v>1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"12/16/2021 14:43:41.505"</f>
        <v>12/16/2021 14:43:41.505</v>
      </c>
      <c r="C272" t="str">
        <f t="shared" si="13"/>
        <v>FFDFD3C0</v>
      </c>
      <c r="D272" t="s">
        <v>133</v>
      </c>
      <c r="E272">
        <v>44</v>
      </c>
      <c r="H272">
        <v>131</v>
      </c>
      <c r="I272" t="s">
        <v>134</v>
      </c>
      <c r="J272" t="s">
        <v>135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"14:43:41.289"</f>
        <v>14:43:41.289</v>
      </c>
      <c r="T272" t="str">
        <f>"14:43:40.889"</f>
        <v>14:43:40.889</v>
      </c>
      <c r="U272" t="str">
        <f t="shared" si="12"/>
        <v>A0F928</v>
      </c>
      <c r="V272">
        <v>0</v>
      </c>
      <c r="W272">
        <v>0</v>
      </c>
      <c r="X272">
        <v>2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1</v>
      </c>
      <c r="AI272" t="s">
        <v>259</v>
      </c>
      <c r="AJ272">
        <v>35.781269000000002</v>
      </c>
      <c r="AK272" t="s">
        <v>260</v>
      </c>
      <c r="AL272">
        <v>-83.983998</v>
      </c>
      <c r="AM272">
        <v>25</v>
      </c>
      <c r="AN272">
        <v>1650</v>
      </c>
      <c r="AO272" t="s">
        <v>118</v>
      </c>
      <c r="AP272">
        <v>91</v>
      </c>
      <c r="AQ272">
        <v>113</v>
      </c>
      <c r="AR272">
        <v>128</v>
      </c>
      <c r="AZ272">
        <v>300</v>
      </c>
      <c r="BA272">
        <v>1</v>
      </c>
      <c r="BB272" t="str">
        <f t="shared" si="14"/>
        <v xml:space="preserve">N162AM  </v>
      </c>
      <c r="BC272">
        <v>1</v>
      </c>
      <c r="BE272">
        <v>0</v>
      </c>
      <c r="BF272">
        <v>0</v>
      </c>
      <c r="BG272">
        <v>0</v>
      </c>
      <c r="BH272">
        <v>1925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>"14:43:41.293"</f>
        <v>14:43:41.293</v>
      </c>
      <c r="CJ272">
        <v>3</v>
      </c>
      <c r="CK272">
        <v>2</v>
      </c>
      <c r="CL272">
        <v>0</v>
      </c>
      <c r="CM272">
        <v>2</v>
      </c>
      <c r="CN272">
        <v>0</v>
      </c>
      <c r="CO272">
        <v>6</v>
      </c>
      <c r="CP272" t="s">
        <v>119</v>
      </c>
      <c r="CQ272">
        <v>232</v>
      </c>
      <c r="CR272">
        <v>1</v>
      </c>
      <c r="CW272">
        <v>14917542</v>
      </c>
      <c r="CY272">
        <v>1</v>
      </c>
      <c r="CZ272">
        <v>0</v>
      </c>
      <c r="DA272">
        <v>0</v>
      </c>
      <c r="DB272">
        <v>0</v>
      </c>
      <c r="DC272">
        <v>0</v>
      </c>
      <c r="DD272">
        <v>1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"12/16/2021 14:43:41.505"</f>
        <v>12/16/2021 14:43:41.505</v>
      </c>
      <c r="C273" t="str">
        <f t="shared" si="13"/>
        <v>FFDFD3C0</v>
      </c>
      <c r="D273" t="s">
        <v>113</v>
      </c>
      <c r="E273">
        <v>8</v>
      </c>
      <c r="H273">
        <v>176</v>
      </c>
      <c r="I273" t="s">
        <v>114</v>
      </c>
      <c r="J273" t="s">
        <v>115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"14:43:41.289"</f>
        <v>14:43:41.289</v>
      </c>
      <c r="T273" t="str">
        <f>"14:43:40.889"</f>
        <v>14:43:40.889</v>
      </c>
      <c r="U273" t="str">
        <f t="shared" si="12"/>
        <v>A0F928</v>
      </c>
      <c r="V273">
        <v>0</v>
      </c>
      <c r="W273">
        <v>0</v>
      </c>
      <c r="X273">
        <v>2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1</v>
      </c>
      <c r="AI273" t="s">
        <v>259</v>
      </c>
      <c r="AJ273">
        <v>35.781269000000002</v>
      </c>
      <c r="AK273" t="s">
        <v>260</v>
      </c>
      <c r="AL273">
        <v>-83.983998</v>
      </c>
      <c r="AM273">
        <v>25</v>
      </c>
      <c r="AN273">
        <v>1650</v>
      </c>
      <c r="AO273" t="s">
        <v>118</v>
      </c>
      <c r="AP273">
        <v>91</v>
      </c>
      <c r="AQ273">
        <v>113</v>
      </c>
      <c r="AR273">
        <v>128</v>
      </c>
      <c r="AZ273">
        <v>300</v>
      </c>
      <c r="BA273">
        <v>1</v>
      </c>
      <c r="BB273" t="str">
        <f t="shared" si="14"/>
        <v xml:space="preserve">N162AM  </v>
      </c>
      <c r="BC273">
        <v>1</v>
      </c>
      <c r="BE273">
        <v>0</v>
      </c>
      <c r="BF273">
        <v>0</v>
      </c>
      <c r="BG273">
        <v>0</v>
      </c>
      <c r="BH273">
        <v>1925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>"14:43:41.293"</f>
        <v>14:43:41.293</v>
      </c>
      <c r="CJ273">
        <v>3</v>
      </c>
      <c r="CK273">
        <v>2</v>
      </c>
      <c r="CL273">
        <v>0</v>
      </c>
      <c r="CM273">
        <v>2</v>
      </c>
      <c r="CN273">
        <v>0</v>
      </c>
      <c r="CO273">
        <v>6</v>
      </c>
      <c r="CP273" t="s">
        <v>119</v>
      </c>
      <c r="CQ273">
        <v>232</v>
      </c>
      <c r="CR273">
        <v>1</v>
      </c>
      <c r="CW273">
        <v>14917542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1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"12/16/2021 14:43:41.537"</f>
        <v>12/16/2021 14:43:41.537</v>
      </c>
      <c r="C274" t="str">
        <f t="shared" si="13"/>
        <v>FFDFD3C0</v>
      </c>
      <c r="D274" t="s">
        <v>124</v>
      </c>
      <c r="E274">
        <v>10</v>
      </c>
      <c r="F274">
        <v>1010</v>
      </c>
      <c r="G274" t="s">
        <v>130</v>
      </c>
      <c r="J274" t="s">
        <v>125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"14:43:41.289"</f>
        <v>14:43:41.289</v>
      </c>
      <c r="T274" t="str">
        <f>"14:43:40.889"</f>
        <v>14:43:40.889</v>
      </c>
      <c r="U274" t="str">
        <f t="shared" si="12"/>
        <v>A0F928</v>
      </c>
      <c r="V274">
        <v>0</v>
      </c>
      <c r="W274">
        <v>0</v>
      </c>
      <c r="X274">
        <v>2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1</v>
      </c>
      <c r="AI274" t="s">
        <v>259</v>
      </c>
      <c r="AJ274">
        <v>35.781269000000002</v>
      </c>
      <c r="AK274" t="s">
        <v>260</v>
      </c>
      <c r="AL274">
        <v>-83.983998</v>
      </c>
      <c r="AM274">
        <v>25</v>
      </c>
      <c r="AN274">
        <v>1650</v>
      </c>
      <c r="AO274" t="s">
        <v>118</v>
      </c>
      <c r="AP274">
        <v>91</v>
      </c>
      <c r="AQ274">
        <v>113</v>
      </c>
      <c r="AR274">
        <v>128</v>
      </c>
      <c r="AZ274">
        <v>300</v>
      </c>
      <c r="BA274">
        <v>1</v>
      </c>
      <c r="BB274" t="str">
        <f t="shared" si="14"/>
        <v xml:space="preserve">N162AM  </v>
      </c>
      <c r="BC274">
        <v>1</v>
      </c>
      <c r="BE274">
        <v>0</v>
      </c>
      <c r="BF274">
        <v>0</v>
      </c>
      <c r="BG274">
        <v>0</v>
      </c>
      <c r="BH274">
        <v>1925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>"14:43:41.293"</f>
        <v>14:43:41.293</v>
      </c>
      <c r="CJ274">
        <v>3</v>
      </c>
      <c r="CK274">
        <v>2</v>
      </c>
      <c r="CL274">
        <v>0</v>
      </c>
      <c r="CM274">
        <v>2</v>
      </c>
      <c r="CN274">
        <v>0</v>
      </c>
      <c r="CO274">
        <v>6</v>
      </c>
      <c r="CP274" t="s">
        <v>119</v>
      </c>
      <c r="CQ274">
        <v>232</v>
      </c>
      <c r="CR274">
        <v>1</v>
      </c>
      <c r="CW274">
        <v>14917542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1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"12/16/2021 14:43:41.537"</f>
        <v>12/16/2021 14:43:41.537</v>
      </c>
      <c r="C275" t="str">
        <f t="shared" si="13"/>
        <v>FFDFD3C0</v>
      </c>
      <c r="D275" t="s">
        <v>124</v>
      </c>
      <c r="E275">
        <v>5</v>
      </c>
      <c r="F275">
        <v>1005</v>
      </c>
      <c r="G275" t="s">
        <v>114</v>
      </c>
      <c r="J275" t="s">
        <v>125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"14:43:41.289"</f>
        <v>14:43:41.289</v>
      </c>
      <c r="T275" t="str">
        <f>"14:43:40.889"</f>
        <v>14:43:40.889</v>
      </c>
      <c r="U275" t="str">
        <f t="shared" si="12"/>
        <v>A0F928</v>
      </c>
      <c r="V275">
        <v>0</v>
      </c>
      <c r="W275">
        <v>0</v>
      </c>
      <c r="X275">
        <v>2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1</v>
      </c>
      <c r="AI275" t="s">
        <v>259</v>
      </c>
      <c r="AJ275">
        <v>35.781269000000002</v>
      </c>
      <c r="AK275" t="s">
        <v>260</v>
      </c>
      <c r="AL275">
        <v>-83.983998</v>
      </c>
      <c r="AM275">
        <v>25</v>
      </c>
      <c r="AN275">
        <v>1650</v>
      </c>
      <c r="AO275" t="s">
        <v>118</v>
      </c>
      <c r="AP275">
        <v>91</v>
      </c>
      <c r="AQ275">
        <v>113</v>
      </c>
      <c r="AR275">
        <v>128</v>
      </c>
      <c r="AZ275">
        <v>300</v>
      </c>
      <c r="BA275">
        <v>1</v>
      </c>
      <c r="BB275" t="str">
        <f t="shared" si="14"/>
        <v xml:space="preserve">N162AM  </v>
      </c>
      <c r="BC275">
        <v>1</v>
      </c>
      <c r="BE275">
        <v>0</v>
      </c>
      <c r="BF275">
        <v>0</v>
      </c>
      <c r="BG275">
        <v>0</v>
      </c>
      <c r="BH275">
        <v>1925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>"14:43:41.293"</f>
        <v>14:43:41.293</v>
      </c>
      <c r="CJ275">
        <v>3</v>
      </c>
      <c r="CK275">
        <v>2</v>
      </c>
      <c r="CL275">
        <v>0</v>
      </c>
      <c r="CM275">
        <v>2</v>
      </c>
      <c r="CN275">
        <v>0</v>
      </c>
      <c r="CO275">
        <v>6</v>
      </c>
      <c r="CP275" t="s">
        <v>119</v>
      </c>
      <c r="CQ275">
        <v>232</v>
      </c>
      <c r="CR275">
        <v>1</v>
      </c>
      <c r="CW275">
        <v>14917542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1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"12/16/2021 14:43:42.412"</f>
        <v>12/16/2021 14:43:42.412</v>
      </c>
      <c r="C276" t="str">
        <f t="shared" si="13"/>
        <v>FFDFD3C0</v>
      </c>
      <c r="D276" t="s">
        <v>133</v>
      </c>
      <c r="E276">
        <v>44</v>
      </c>
      <c r="H276">
        <v>131</v>
      </c>
      <c r="I276" t="s">
        <v>134</v>
      </c>
      <c r="J276" t="s">
        <v>135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"14:43:42.172"</f>
        <v>14:43:42.172</v>
      </c>
      <c r="T276" t="str">
        <f>"14:43:41.772"</f>
        <v>14:43:41.772</v>
      </c>
      <c r="U276" t="str">
        <f t="shared" si="12"/>
        <v>A0F928</v>
      </c>
      <c r="V276">
        <v>0</v>
      </c>
      <c r="W276">
        <v>0</v>
      </c>
      <c r="X276">
        <v>2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1</v>
      </c>
      <c r="AI276" t="s">
        <v>261</v>
      </c>
      <c r="AJ276">
        <v>35.781740999999997</v>
      </c>
      <c r="AK276" t="s">
        <v>262</v>
      </c>
      <c r="AL276">
        <v>-83.983504999999994</v>
      </c>
      <c r="AM276">
        <v>25</v>
      </c>
      <c r="AN276">
        <v>1650</v>
      </c>
      <c r="AO276" t="s">
        <v>118</v>
      </c>
      <c r="AP276">
        <v>91</v>
      </c>
      <c r="AQ276">
        <v>112</v>
      </c>
      <c r="AR276">
        <v>128</v>
      </c>
      <c r="AZ276">
        <v>300</v>
      </c>
      <c r="BA276">
        <v>1</v>
      </c>
      <c r="BB276" t="str">
        <f t="shared" si="14"/>
        <v xml:space="preserve">N162AM  </v>
      </c>
      <c r="BC276">
        <v>1</v>
      </c>
      <c r="BE276">
        <v>0</v>
      </c>
      <c r="BF276">
        <v>0</v>
      </c>
      <c r="BG276">
        <v>0</v>
      </c>
      <c r="BH276">
        <v>1925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>"14:43:42.176"</f>
        <v>14:43:42.176</v>
      </c>
      <c r="CJ276">
        <v>3</v>
      </c>
      <c r="CK276">
        <v>2</v>
      </c>
      <c r="CL276">
        <v>0</v>
      </c>
      <c r="CM276">
        <v>2</v>
      </c>
      <c r="CN276">
        <v>0</v>
      </c>
      <c r="CO276">
        <v>6</v>
      </c>
      <c r="CP276" t="s">
        <v>119</v>
      </c>
      <c r="CQ276">
        <v>232</v>
      </c>
      <c r="CR276">
        <v>1</v>
      </c>
      <c r="CW276">
        <v>14918846</v>
      </c>
      <c r="CY276">
        <v>1</v>
      </c>
      <c r="CZ276">
        <v>0</v>
      </c>
      <c r="DA276">
        <v>0</v>
      </c>
      <c r="DB276">
        <v>0</v>
      </c>
      <c r="DC276">
        <v>0</v>
      </c>
      <c r="DD276">
        <v>1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"12/16/2021 14:43:42.396"</f>
        <v>12/16/2021 14:43:42.396</v>
      </c>
      <c r="C277" t="str">
        <f t="shared" si="13"/>
        <v>FFDFD3C0</v>
      </c>
      <c r="D277" t="s">
        <v>124</v>
      </c>
      <c r="E277">
        <v>5</v>
      </c>
      <c r="F277">
        <v>1005</v>
      </c>
      <c r="G277" t="s">
        <v>114</v>
      </c>
      <c r="J277" t="s">
        <v>125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"14:43:42.172"</f>
        <v>14:43:42.172</v>
      </c>
      <c r="T277" t="str">
        <f>"14:43:41.772"</f>
        <v>14:43:41.772</v>
      </c>
      <c r="U277" t="str">
        <f t="shared" si="12"/>
        <v>A0F928</v>
      </c>
      <c r="V277">
        <v>0</v>
      </c>
      <c r="W277">
        <v>0</v>
      </c>
      <c r="X277">
        <v>2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1</v>
      </c>
      <c r="AI277" t="s">
        <v>261</v>
      </c>
      <c r="AJ277">
        <v>35.781740999999997</v>
      </c>
      <c r="AK277" t="s">
        <v>262</v>
      </c>
      <c r="AL277">
        <v>-83.983504999999994</v>
      </c>
      <c r="AM277">
        <v>25</v>
      </c>
      <c r="AN277">
        <v>1650</v>
      </c>
      <c r="AO277" t="s">
        <v>118</v>
      </c>
      <c r="AP277">
        <v>91</v>
      </c>
      <c r="AQ277">
        <v>112</v>
      </c>
      <c r="AR277">
        <v>128</v>
      </c>
      <c r="AZ277">
        <v>300</v>
      </c>
      <c r="BA277">
        <v>1</v>
      </c>
      <c r="BB277" t="str">
        <f t="shared" si="14"/>
        <v xml:space="preserve">N162AM  </v>
      </c>
      <c r="BC277">
        <v>1</v>
      </c>
      <c r="BE277">
        <v>0</v>
      </c>
      <c r="BF277">
        <v>0</v>
      </c>
      <c r="BG277">
        <v>0</v>
      </c>
      <c r="BH277">
        <v>1925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>"14:43:42.176"</f>
        <v>14:43:42.176</v>
      </c>
      <c r="CJ277">
        <v>3</v>
      </c>
      <c r="CK277">
        <v>2</v>
      </c>
      <c r="CL277">
        <v>0</v>
      </c>
      <c r="CM277">
        <v>2</v>
      </c>
      <c r="CN277">
        <v>0</v>
      </c>
      <c r="CO277">
        <v>6</v>
      </c>
      <c r="CP277" t="s">
        <v>119</v>
      </c>
      <c r="CQ277">
        <v>232</v>
      </c>
      <c r="CR277">
        <v>1</v>
      </c>
      <c r="CW277">
        <v>14918846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1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"12/16/2021 14:43:42.427"</f>
        <v>12/16/2021 14:43:42.427</v>
      </c>
      <c r="C278" t="str">
        <f t="shared" si="13"/>
        <v>FFDFD3C0</v>
      </c>
      <c r="D278" t="s">
        <v>124</v>
      </c>
      <c r="E278">
        <v>10</v>
      </c>
      <c r="F278">
        <v>1010</v>
      </c>
      <c r="G278" t="s">
        <v>130</v>
      </c>
      <c r="J278" t="s">
        <v>125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"14:43:42.172"</f>
        <v>14:43:42.172</v>
      </c>
      <c r="T278" t="str">
        <f>"14:43:41.772"</f>
        <v>14:43:41.772</v>
      </c>
      <c r="U278" t="str">
        <f t="shared" si="12"/>
        <v>A0F928</v>
      </c>
      <c r="V278">
        <v>0</v>
      </c>
      <c r="W278">
        <v>0</v>
      </c>
      <c r="X278">
        <v>2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1</v>
      </c>
      <c r="AI278" t="s">
        <v>261</v>
      </c>
      <c r="AJ278">
        <v>35.781740999999997</v>
      </c>
      <c r="AK278" t="s">
        <v>262</v>
      </c>
      <c r="AL278">
        <v>-83.983504999999994</v>
      </c>
      <c r="AM278">
        <v>25</v>
      </c>
      <c r="AN278">
        <v>1650</v>
      </c>
      <c r="AO278" t="s">
        <v>118</v>
      </c>
      <c r="AP278">
        <v>91</v>
      </c>
      <c r="AQ278">
        <v>112</v>
      </c>
      <c r="AR278">
        <v>128</v>
      </c>
      <c r="AZ278">
        <v>300</v>
      </c>
      <c r="BA278">
        <v>1</v>
      </c>
      <c r="BB278" t="str">
        <f t="shared" si="14"/>
        <v xml:space="preserve">N162AM  </v>
      </c>
      <c r="BC278">
        <v>1</v>
      </c>
      <c r="BE278">
        <v>0</v>
      </c>
      <c r="BF278">
        <v>0</v>
      </c>
      <c r="BG278">
        <v>0</v>
      </c>
      <c r="BH278">
        <v>1925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>"14:43:42.176"</f>
        <v>14:43:42.176</v>
      </c>
      <c r="CJ278">
        <v>3</v>
      </c>
      <c r="CK278">
        <v>2</v>
      </c>
      <c r="CL278">
        <v>0</v>
      </c>
      <c r="CM278">
        <v>2</v>
      </c>
      <c r="CN278">
        <v>0</v>
      </c>
      <c r="CO278">
        <v>6</v>
      </c>
      <c r="CP278" t="s">
        <v>119</v>
      </c>
      <c r="CQ278">
        <v>232</v>
      </c>
      <c r="CR278">
        <v>1</v>
      </c>
      <c r="CW278">
        <v>14918846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1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"12/16/2021 14:43:42.474"</f>
        <v>12/16/2021 14:43:42.474</v>
      </c>
      <c r="C279" t="str">
        <f t="shared" si="13"/>
        <v>FFDFD3C0</v>
      </c>
      <c r="D279" t="s">
        <v>113</v>
      </c>
      <c r="E279">
        <v>8</v>
      </c>
      <c r="H279">
        <v>176</v>
      </c>
      <c r="I279" t="s">
        <v>114</v>
      </c>
      <c r="J279" t="s">
        <v>115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"14:43:42.172"</f>
        <v>14:43:42.172</v>
      </c>
      <c r="T279" t="str">
        <f>"14:43:41.772"</f>
        <v>14:43:41.772</v>
      </c>
      <c r="U279" t="str">
        <f t="shared" si="12"/>
        <v>A0F928</v>
      </c>
      <c r="V279">
        <v>0</v>
      </c>
      <c r="W279">
        <v>0</v>
      </c>
      <c r="X279">
        <v>2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1</v>
      </c>
      <c r="AI279" t="s">
        <v>261</v>
      </c>
      <c r="AJ279">
        <v>35.781740999999997</v>
      </c>
      <c r="AK279" t="s">
        <v>262</v>
      </c>
      <c r="AL279">
        <v>-83.983504999999994</v>
      </c>
      <c r="AM279">
        <v>25</v>
      </c>
      <c r="AN279">
        <v>1650</v>
      </c>
      <c r="AO279" t="s">
        <v>118</v>
      </c>
      <c r="AP279">
        <v>91</v>
      </c>
      <c r="AQ279">
        <v>112</v>
      </c>
      <c r="AR279">
        <v>128</v>
      </c>
      <c r="AZ279">
        <v>300</v>
      </c>
      <c r="BA279">
        <v>1</v>
      </c>
      <c r="BB279" t="str">
        <f t="shared" si="14"/>
        <v xml:space="preserve">N162AM  </v>
      </c>
      <c r="BC279">
        <v>1</v>
      </c>
      <c r="BE279">
        <v>0</v>
      </c>
      <c r="BF279">
        <v>0</v>
      </c>
      <c r="BG279">
        <v>0</v>
      </c>
      <c r="BH279">
        <v>1925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>"14:43:42.176"</f>
        <v>14:43:42.176</v>
      </c>
      <c r="CJ279">
        <v>3</v>
      </c>
      <c r="CK279">
        <v>2</v>
      </c>
      <c r="CL279">
        <v>0</v>
      </c>
      <c r="CM279">
        <v>2</v>
      </c>
      <c r="CN279">
        <v>0</v>
      </c>
      <c r="CO279">
        <v>6</v>
      </c>
      <c r="CP279" t="s">
        <v>119</v>
      </c>
      <c r="CQ279">
        <v>232</v>
      </c>
      <c r="CR279">
        <v>1</v>
      </c>
      <c r="CW279">
        <v>14918846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1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"12/16/2021 14:43:43.334"</f>
        <v>12/16/2021 14:43:43.334</v>
      </c>
      <c r="C280" t="str">
        <f t="shared" si="13"/>
        <v>FFDFD3C0</v>
      </c>
      <c r="D280" t="s">
        <v>113</v>
      </c>
      <c r="E280">
        <v>8</v>
      </c>
      <c r="H280">
        <v>176</v>
      </c>
      <c r="I280" t="s">
        <v>114</v>
      </c>
      <c r="J280" t="s">
        <v>115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"14:43:43.109"</f>
        <v>14:43:43.109</v>
      </c>
      <c r="T280" t="str">
        <f>"14:43:42.709"</f>
        <v>14:43:42.709</v>
      </c>
      <c r="U280" t="str">
        <f t="shared" si="12"/>
        <v>A0F928</v>
      </c>
      <c r="V280">
        <v>0</v>
      </c>
      <c r="W280">
        <v>0</v>
      </c>
      <c r="X280">
        <v>2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1</v>
      </c>
      <c r="AI280" t="s">
        <v>263</v>
      </c>
      <c r="AJ280">
        <v>35.782192000000002</v>
      </c>
      <c r="AK280" t="s">
        <v>264</v>
      </c>
      <c r="AL280">
        <v>-83.983053999999996</v>
      </c>
      <c r="AM280">
        <v>25</v>
      </c>
      <c r="AN280">
        <v>1650</v>
      </c>
      <c r="AO280" t="s">
        <v>118</v>
      </c>
      <c r="AP280">
        <v>91</v>
      </c>
      <c r="AQ280">
        <v>112</v>
      </c>
      <c r="AR280">
        <v>128</v>
      </c>
      <c r="AZ280">
        <v>300</v>
      </c>
      <c r="BA280">
        <v>1</v>
      </c>
      <c r="BB280" t="str">
        <f t="shared" si="14"/>
        <v xml:space="preserve">N162AM  </v>
      </c>
      <c r="BC280">
        <v>1</v>
      </c>
      <c r="BE280">
        <v>0</v>
      </c>
      <c r="BF280">
        <v>0</v>
      </c>
      <c r="BG280">
        <v>0</v>
      </c>
      <c r="BH280">
        <v>1925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>"14:43:43.110"</f>
        <v>14:43:43.110</v>
      </c>
      <c r="CJ280">
        <v>3</v>
      </c>
      <c r="CK280">
        <v>2</v>
      </c>
      <c r="CL280">
        <v>0</v>
      </c>
      <c r="CM280">
        <v>2</v>
      </c>
      <c r="CN280">
        <v>0</v>
      </c>
      <c r="CO280">
        <v>6</v>
      </c>
      <c r="CP280" t="s">
        <v>119</v>
      </c>
      <c r="CQ280">
        <v>232</v>
      </c>
      <c r="CR280">
        <v>1</v>
      </c>
      <c r="CW280">
        <v>14920371</v>
      </c>
      <c r="CY280">
        <v>1</v>
      </c>
      <c r="CZ280">
        <v>0</v>
      </c>
      <c r="DA280">
        <v>0</v>
      </c>
      <c r="DB280">
        <v>0</v>
      </c>
      <c r="DC280">
        <v>0</v>
      </c>
      <c r="DD280">
        <v>1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"12/16/2021 14:43:43.334"</f>
        <v>12/16/2021 14:43:43.334</v>
      </c>
      <c r="C281" t="str">
        <f t="shared" si="13"/>
        <v>FFDFD3C0</v>
      </c>
      <c r="D281" t="s">
        <v>124</v>
      </c>
      <c r="E281">
        <v>10</v>
      </c>
      <c r="F281">
        <v>1010</v>
      </c>
      <c r="G281" t="s">
        <v>130</v>
      </c>
      <c r="J281" t="s">
        <v>125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"14:43:43.109"</f>
        <v>14:43:43.109</v>
      </c>
      <c r="T281" t="str">
        <f>"14:43:42.709"</f>
        <v>14:43:42.709</v>
      </c>
      <c r="U281" t="str">
        <f t="shared" si="12"/>
        <v>A0F928</v>
      </c>
      <c r="V281">
        <v>0</v>
      </c>
      <c r="W281">
        <v>0</v>
      </c>
      <c r="X281">
        <v>2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1</v>
      </c>
      <c r="AI281" t="s">
        <v>263</v>
      </c>
      <c r="AJ281">
        <v>35.782192000000002</v>
      </c>
      <c r="AK281" t="s">
        <v>264</v>
      </c>
      <c r="AL281">
        <v>-83.983053999999996</v>
      </c>
      <c r="AM281">
        <v>25</v>
      </c>
      <c r="AN281">
        <v>1650</v>
      </c>
      <c r="AO281" t="s">
        <v>118</v>
      </c>
      <c r="AP281">
        <v>91</v>
      </c>
      <c r="AQ281">
        <v>112</v>
      </c>
      <c r="AR281">
        <v>128</v>
      </c>
      <c r="AZ281">
        <v>300</v>
      </c>
      <c r="BA281">
        <v>1</v>
      </c>
      <c r="BB281" t="str">
        <f t="shared" si="14"/>
        <v xml:space="preserve">N162AM  </v>
      </c>
      <c r="BC281">
        <v>1</v>
      </c>
      <c r="BE281">
        <v>0</v>
      </c>
      <c r="BF281">
        <v>0</v>
      </c>
      <c r="BG281">
        <v>0</v>
      </c>
      <c r="BH281">
        <v>1925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>"14:43:43.110"</f>
        <v>14:43:43.110</v>
      </c>
      <c r="CJ281">
        <v>3</v>
      </c>
      <c r="CK281">
        <v>2</v>
      </c>
      <c r="CL281">
        <v>0</v>
      </c>
      <c r="CM281">
        <v>2</v>
      </c>
      <c r="CN281">
        <v>0</v>
      </c>
      <c r="CO281">
        <v>6</v>
      </c>
      <c r="CP281" t="s">
        <v>119</v>
      </c>
      <c r="CQ281">
        <v>232</v>
      </c>
      <c r="CR281">
        <v>1</v>
      </c>
      <c r="CW281">
        <v>14920371</v>
      </c>
      <c r="CY281">
        <v>1</v>
      </c>
      <c r="CZ281">
        <v>0</v>
      </c>
      <c r="DA281">
        <v>1</v>
      </c>
      <c r="DB281">
        <v>0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"12/16/2021 14:43:43.334"</f>
        <v>12/16/2021 14:43:43.334</v>
      </c>
      <c r="C282" t="str">
        <f t="shared" si="13"/>
        <v>FFDFD3C0</v>
      </c>
      <c r="D282" t="s">
        <v>124</v>
      </c>
      <c r="E282">
        <v>5</v>
      </c>
      <c r="F282">
        <v>1005</v>
      </c>
      <c r="G282" t="s">
        <v>114</v>
      </c>
      <c r="J282" t="s">
        <v>125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"14:43:43.109"</f>
        <v>14:43:43.109</v>
      </c>
      <c r="T282" t="str">
        <f>"14:43:42.709"</f>
        <v>14:43:42.709</v>
      </c>
      <c r="U282" t="str">
        <f t="shared" si="12"/>
        <v>A0F928</v>
      </c>
      <c r="V282">
        <v>0</v>
      </c>
      <c r="W282">
        <v>0</v>
      </c>
      <c r="X282">
        <v>2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1</v>
      </c>
      <c r="AI282" t="s">
        <v>263</v>
      </c>
      <c r="AJ282">
        <v>35.782192000000002</v>
      </c>
      <c r="AK282" t="s">
        <v>264</v>
      </c>
      <c r="AL282">
        <v>-83.983053999999996</v>
      </c>
      <c r="AM282">
        <v>25</v>
      </c>
      <c r="AN282">
        <v>1650</v>
      </c>
      <c r="AO282" t="s">
        <v>118</v>
      </c>
      <c r="AP282">
        <v>91</v>
      </c>
      <c r="AQ282">
        <v>112</v>
      </c>
      <c r="AR282">
        <v>128</v>
      </c>
      <c r="AZ282">
        <v>300</v>
      </c>
      <c r="BA282">
        <v>1</v>
      </c>
      <c r="BB282" t="str">
        <f t="shared" si="14"/>
        <v xml:space="preserve">N162AM  </v>
      </c>
      <c r="BC282">
        <v>1</v>
      </c>
      <c r="BE282">
        <v>0</v>
      </c>
      <c r="BF282">
        <v>0</v>
      </c>
      <c r="BG282">
        <v>0</v>
      </c>
      <c r="BH282">
        <v>1925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>"14:43:43.110"</f>
        <v>14:43:43.110</v>
      </c>
      <c r="CJ282">
        <v>3</v>
      </c>
      <c r="CK282">
        <v>2</v>
      </c>
      <c r="CL282">
        <v>0</v>
      </c>
      <c r="CM282">
        <v>2</v>
      </c>
      <c r="CN282">
        <v>0</v>
      </c>
      <c r="CO282">
        <v>6</v>
      </c>
      <c r="CP282" t="s">
        <v>119</v>
      </c>
      <c r="CQ282">
        <v>232</v>
      </c>
      <c r="CR282">
        <v>1</v>
      </c>
      <c r="CW282">
        <v>14920371</v>
      </c>
      <c r="CY282">
        <v>1</v>
      </c>
      <c r="CZ282">
        <v>0</v>
      </c>
      <c r="DA282">
        <v>1</v>
      </c>
      <c r="DB282">
        <v>0</v>
      </c>
      <c r="DC282">
        <v>0</v>
      </c>
      <c r="DD282">
        <v>1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"12/16/2021 14:43:43.334"</f>
        <v>12/16/2021 14:43:43.334</v>
      </c>
      <c r="C283" t="str">
        <f t="shared" si="13"/>
        <v>FFDFD3C0</v>
      </c>
      <c r="D283" t="s">
        <v>133</v>
      </c>
      <c r="E283">
        <v>44</v>
      </c>
      <c r="H283">
        <v>131</v>
      </c>
      <c r="I283" t="s">
        <v>134</v>
      </c>
      <c r="J283" t="s">
        <v>135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"14:43:43.109"</f>
        <v>14:43:43.109</v>
      </c>
      <c r="T283" t="str">
        <f>"14:43:42.709"</f>
        <v>14:43:42.709</v>
      </c>
      <c r="U283" t="str">
        <f t="shared" si="12"/>
        <v>A0F928</v>
      </c>
      <c r="V283">
        <v>0</v>
      </c>
      <c r="W283">
        <v>0</v>
      </c>
      <c r="X283">
        <v>2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1</v>
      </c>
      <c r="AI283" t="s">
        <v>263</v>
      </c>
      <c r="AJ283">
        <v>35.782192000000002</v>
      </c>
      <c r="AK283" t="s">
        <v>264</v>
      </c>
      <c r="AL283">
        <v>-83.983053999999996</v>
      </c>
      <c r="AM283">
        <v>25</v>
      </c>
      <c r="AN283">
        <v>1650</v>
      </c>
      <c r="AO283" t="s">
        <v>118</v>
      </c>
      <c r="AP283">
        <v>91</v>
      </c>
      <c r="AQ283">
        <v>112</v>
      </c>
      <c r="AR283">
        <v>128</v>
      </c>
      <c r="AZ283">
        <v>300</v>
      </c>
      <c r="BA283">
        <v>1</v>
      </c>
      <c r="BB283" t="str">
        <f t="shared" si="14"/>
        <v xml:space="preserve">N162AM  </v>
      </c>
      <c r="BC283">
        <v>1</v>
      </c>
      <c r="BE283">
        <v>0</v>
      </c>
      <c r="BF283">
        <v>0</v>
      </c>
      <c r="BG283">
        <v>0</v>
      </c>
      <c r="BH283">
        <v>1925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>"14:43:43.110"</f>
        <v>14:43:43.110</v>
      </c>
      <c r="CJ283">
        <v>3</v>
      </c>
      <c r="CK283">
        <v>2</v>
      </c>
      <c r="CL283">
        <v>0</v>
      </c>
      <c r="CM283">
        <v>2</v>
      </c>
      <c r="CN283">
        <v>0</v>
      </c>
      <c r="CO283">
        <v>6</v>
      </c>
      <c r="CP283" t="s">
        <v>119</v>
      </c>
      <c r="CQ283">
        <v>232</v>
      </c>
      <c r="CR283">
        <v>1</v>
      </c>
      <c r="CW283">
        <v>14920371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1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"12/16/2021 14:43:44.335"</f>
        <v>12/16/2021 14:43:44.335</v>
      </c>
      <c r="C284" t="str">
        <f t="shared" si="13"/>
        <v>FFDFD3C0</v>
      </c>
      <c r="D284" t="s">
        <v>133</v>
      </c>
      <c r="E284">
        <v>44</v>
      </c>
      <c r="H284">
        <v>131</v>
      </c>
      <c r="I284" t="s">
        <v>134</v>
      </c>
      <c r="J284" t="s">
        <v>135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"14:43:44.141"</f>
        <v>14:43:44.141</v>
      </c>
      <c r="T284" t="str">
        <f>"14:43:43.641"</f>
        <v>14:43:43.641</v>
      </c>
      <c r="U284" t="str">
        <f t="shared" si="12"/>
        <v>A0F928</v>
      </c>
      <c r="V284">
        <v>0</v>
      </c>
      <c r="W284">
        <v>0</v>
      </c>
      <c r="X284">
        <v>2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1</v>
      </c>
      <c r="AI284" t="s">
        <v>265</v>
      </c>
      <c r="AJ284">
        <v>35.782707000000002</v>
      </c>
      <c r="AK284" t="s">
        <v>266</v>
      </c>
      <c r="AL284">
        <v>-83.982539000000003</v>
      </c>
      <c r="AM284">
        <v>25</v>
      </c>
      <c r="AN284">
        <v>1650</v>
      </c>
      <c r="AO284" t="s">
        <v>118</v>
      </c>
      <c r="AP284">
        <v>90</v>
      </c>
      <c r="AQ284">
        <v>112</v>
      </c>
      <c r="AR284">
        <v>64</v>
      </c>
      <c r="AZ284">
        <v>300</v>
      </c>
      <c r="BA284">
        <v>1</v>
      </c>
      <c r="BB284" t="str">
        <f t="shared" si="14"/>
        <v xml:space="preserve">N162AM  </v>
      </c>
      <c r="BC284">
        <v>1</v>
      </c>
      <c r="BE284">
        <v>0</v>
      </c>
      <c r="BF284">
        <v>0</v>
      </c>
      <c r="BG284">
        <v>0</v>
      </c>
      <c r="BH284">
        <v>1925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>"14:43:44.141"</f>
        <v>14:43:44.141</v>
      </c>
      <c r="CJ284">
        <v>3</v>
      </c>
      <c r="CK284">
        <v>2</v>
      </c>
      <c r="CL284">
        <v>0</v>
      </c>
      <c r="CM284">
        <v>2</v>
      </c>
      <c r="CN284">
        <v>0</v>
      </c>
      <c r="CO284">
        <v>6</v>
      </c>
      <c r="CP284" t="s">
        <v>119</v>
      </c>
      <c r="CQ284">
        <v>232</v>
      </c>
      <c r="CR284">
        <v>1</v>
      </c>
      <c r="CW284">
        <v>14922033</v>
      </c>
      <c r="CY284">
        <v>1</v>
      </c>
      <c r="CZ284">
        <v>0</v>
      </c>
      <c r="DA284">
        <v>0</v>
      </c>
      <c r="DB284">
        <v>0</v>
      </c>
      <c r="DC284">
        <v>0</v>
      </c>
      <c r="DD284">
        <v>1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"12/16/2021 14:43:44.350"</f>
        <v>12/16/2021 14:43:44.350</v>
      </c>
      <c r="C285" t="str">
        <f t="shared" si="13"/>
        <v>FFDFD3C0</v>
      </c>
      <c r="D285" t="s">
        <v>124</v>
      </c>
      <c r="E285">
        <v>10</v>
      </c>
      <c r="F285">
        <v>1010</v>
      </c>
      <c r="G285" t="s">
        <v>130</v>
      </c>
      <c r="J285" t="s">
        <v>125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"14:43:44.141"</f>
        <v>14:43:44.141</v>
      </c>
      <c r="T285" t="str">
        <f>"14:43:43.641"</f>
        <v>14:43:43.641</v>
      </c>
      <c r="U285" t="str">
        <f t="shared" si="12"/>
        <v>A0F928</v>
      </c>
      <c r="V285">
        <v>0</v>
      </c>
      <c r="W285">
        <v>0</v>
      </c>
      <c r="X285">
        <v>2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1</v>
      </c>
      <c r="AI285" t="s">
        <v>265</v>
      </c>
      <c r="AJ285">
        <v>35.782707000000002</v>
      </c>
      <c r="AK285" t="s">
        <v>266</v>
      </c>
      <c r="AL285">
        <v>-83.982539000000003</v>
      </c>
      <c r="AM285">
        <v>25</v>
      </c>
      <c r="AN285">
        <v>1650</v>
      </c>
      <c r="AO285" t="s">
        <v>118</v>
      </c>
      <c r="AP285">
        <v>90</v>
      </c>
      <c r="AQ285">
        <v>112</v>
      </c>
      <c r="AR285">
        <v>64</v>
      </c>
      <c r="AZ285">
        <v>300</v>
      </c>
      <c r="BA285">
        <v>1</v>
      </c>
      <c r="BB285" t="str">
        <f t="shared" si="14"/>
        <v xml:space="preserve">N162AM  </v>
      </c>
      <c r="BC285">
        <v>1</v>
      </c>
      <c r="BE285">
        <v>0</v>
      </c>
      <c r="BF285">
        <v>0</v>
      </c>
      <c r="BG285">
        <v>0</v>
      </c>
      <c r="BH285">
        <v>1925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>"14:43:44.141"</f>
        <v>14:43:44.141</v>
      </c>
      <c r="CJ285">
        <v>3</v>
      </c>
      <c r="CK285">
        <v>2</v>
      </c>
      <c r="CL285">
        <v>0</v>
      </c>
      <c r="CM285">
        <v>2</v>
      </c>
      <c r="CN285">
        <v>0</v>
      </c>
      <c r="CO285">
        <v>6</v>
      </c>
      <c r="CP285" t="s">
        <v>119</v>
      </c>
      <c r="CQ285">
        <v>232</v>
      </c>
      <c r="CR285">
        <v>1</v>
      </c>
      <c r="CW285">
        <v>14922033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1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"12/16/2021 14:43:44.366"</f>
        <v>12/16/2021 14:43:44.366</v>
      </c>
      <c r="C286" t="str">
        <f t="shared" si="13"/>
        <v>FFDFD3C0</v>
      </c>
      <c r="D286" t="s">
        <v>113</v>
      </c>
      <c r="E286">
        <v>8</v>
      </c>
      <c r="H286">
        <v>176</v>
      </c>
      <c r="I286" t="s">
        <v>114</v>
      </c>
      <c r="J286" t="s">
        <v>115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"14:43:44.141"</f>
        <v>14:43:44.141</v>
      </c>
      <c r="T286" t="str">
        <f>"14:43:43.641"</f>
        <v>14:43:43.641</v>
      </c>
      <c r="U286" t="str">
        <f t="shared" si="12"/>
        <v>A0F928</v>
      </c>
      <c r="V286">
        <v>0</v>
      </c>
      <c r="W286">
        <v>0</v>
      </c>
      <c r="X286">
        <v>2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1</v>
      </c>
      <c r="AI286" t="s">
        <v>265</v>
      </c>
      <c r="AJ286">
        <v>35.782707000000002</v>
      </c>
      <c r="AK286" t="s">
        <v>266</v>
      </c>
      <c r="AL286">
        <v>-83.982539000000003</v>
      </c>
      <c r="AM286">
        <v>25</v>
      </c>
      <c r="AN286">
        <v>1650</v>
      </c>
      <c r="AO286" t="s">
        <v>118</v>
      </c>
      <c r="AP286">
        <v>90</v>
      </c>
      <c r="AQ286">
        <v>112</v>
      </c>
      <c r="AR286">
        <v>64</v>
      </c>
      <c r="AZ286">
        <v>300</v>
      </c>
      <c r="BA286">
        <v>1</v>
      </c>
      <c r="BB286" t="str">
        <f t="shared" si="14"/>
        <v xml:space="preserve">N162AM  </v>
      </c>
      <c r="BC286">
        <v>1</v>
      </c>
      <c r="BE286">
        <v>0</v>
      </c>
      <c r="BF286">
        <v>0</v>
      </c>
      <c r="BG286">
        <v>0</v>
      </c>
      <c r="BH286">
        <v>1925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>"14:43:44.141"</f>
        <v>14:43:44.141</v>
      </c>
      <c r="CJ286">
        <v>3</v>
      </c>
      <c r="CK286">
        <v>2</v>
      </c>
      <c r="CL286">
        <v>0</v>
      </c>
      <c r="CM286">
        <v>2</v>
      </c>
      <c r="CN286">
        <v>0</v>
      </c>
      <c r="CO286">
        <v>6</v>
      </c>
      <c r="CP286" t="s">
        <v>119</v>
      </c>
      <c r="CQ286">
        <v>232</v>
      </c>
      <c r="CR286">
        <v>1</v>
      </c>
      <c r="CW286">
        <v>14922033</v>
      </c>
      <c r="CY286">
        <v>1</v>
      </c>
      <c r="CZ286">
        <v>0</v>
      </c>
      <c r="DA286">
        <v>1</v>
      </c>
      <c r="DB286">
        <v>0</v>
      </c>
      <c r="DC286">
        <v>0</v>
      </c>
      <c r="DD286">
        <v>1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"12/16/2021 14:43:44.366"</f>
        <v>12/16/2021 14:43:44.366</v>
      </c>
      <c r="C287" t="str">
        <f t="shared" si="13"/>
        <v>FFDFD3C0</v>
      </c>
      <c r="D287" t="s">
        <v>124</v>
      </c>
      <c r="E287">
        <v>5</v>
      </c>
      <c r="F287">
        <v>1005</v>
      </c>
      <c r="G287" t="s">
        <v>114</v>
      </c>
      <c r="J287" t="s">
        <v>125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"14:43:44.141"</f>
        <v>14:43:44.141</v>
      </c>
      <c r="T287" t="str">
        <f>"14:43:43.641"</f>
        <v>14:43:43.641</v>
      </c>
      <c r="U287" t="str">
        <f t="shared" si="12"/>
        <v>A0F928</v>
      </c>
      <c r="V287">
        <v>0</v>
      </c>
      <c r="W287">
        <v>0</v>
      </c>
      <c r="X287">
        <v>2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1</v>
      </c>
      <c r="AI287" t="s">
        <v>265</v>
      </c>
      <c r="AJ287">
        <v>35.782707000000002</v>
      </c>
      <c r="AK287" t="s">
        <v>266</v>
      </c>
      <c r="AL287">
        <v>-83.982539000000003</v>
      </c>
      <c r="AM287">
        <v>25</v>
      </c>
      <c r="AN287">
        <v>1650</v>
      </c>
      <c r="AO287" t="s">
        <v>118</v>
      </c>
      <c r="AP287">
        <v>90</v>
      </c>
      <c r="AQ287">
        <v>112</v>
      </c>
      <c r="AR287">
        <v>64</v>
      </c>
      <c r="AZ287">
        <v>300</v>
      </c>
      <c r="BA287">
        <v>1</v>
      </c>
      <c r="BB287" t="str">
        <f t="shared" si="14"/>
        <v xml:space="preserve">N162AM  </v>
      </c>
      <c r="BC287">
        <v>1</v>
      </c>
      <c r="BE287">
        <v>0</v>
      </c>
      <c r="BF287">
        <v>0</v>
      </c>
      <c r="BG287">
        <v>0</v>
      </c>
      <c r="BH287">
        <v>1925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>"14:43:44.141"</f>
        <v>14:43:44.141</v>
      </c>
      <c r="CJ287">
        <v>3</v>
      </c>
      <c r="CK287">
        <v>2</v>
      </c>
      <c r="CL287">
        <v>0</v>
      </c>
      <c r="CM287">
        <v>2</v>
      </c>
      <c r="CN287">
        <v>0</v>
      </c>
      <c r="CO287">
        <v>6</v>
      </c>
      <c r="CP287" t="s">
        <v>119</v>
      </c>
      <c r="CQ287">
        <v>232</v>
      </c>
      <c r="CR287">
        <v>1</v>
      </c>
      <c r="CW287">
        <v>14922033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1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"12/16/2021 14:43:45.427"</f>
        <v>12/16/2021 14:43:45.427</v>
      </c>
      <c r="C288" t="str">
        <f t="shared" si="13"/>
        <v>FFDFD3C0</v>
      </c>
      <c r="D288" t="s">
        <v>113</v>
      </c>
      <c r="E288">
        <v>8</v>
      </c>
      <c r="H288">
        <v>176</v>
      </c>
      <c r="I288" t="s">
        <v>114</v>
      </c>
      <c r="J288" t="s">
        <v>115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"14:43:45.188"</f>
        <v>14:43:45.188</v>
      </c>
      <c r="T288" t="str">
        <f>"14:43:44.688"</f>
        <v>14:43:44.688</v>
      </c>
      <c r="U288" t="str">
        <f t="shared" si="12"/>
        <v>A0F928</v>
      </c>
      <c r="V288">
        <v>0</v>
      </c>
      <c r="W288">
        <v>0</v>
      </c>
      <c r="X288">
        <v>2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1</v>
      </c>
      <c r="AI288" t="s">
        <v>267</v>
      </c>
      <c r="AJ288">
        <v>35.783285999999997</v>
      </c>
      <c r="AK288" t="s">
        <v>268</v>
      </c>
      <c r="AL288">
        <v>-83.981960000000001</v>
      </c>
      <c r="AM288">
        <v>25</v>
      </c>
      <c r="AN288">
        <v>1650</v>
      </c>
      <c r="AO288" t="s">
        <v>118</v>
      </c>
      <c r="AP288">
        <v>90</v>
      </c>
      <c r="AQ288">
        <v>112</v>
      </c>
      <c r="AR288">
        <v>64</v>
      </c>
      <c r="AZ288">
        <v>300</v>
      </c>
      <c r="BA288">
        <v>1</v>
      </c>
      <c r="BB288" t="str">
        <f t="shared" si="14"/>
        <v xml:space="preserve">N162AM  </v>
      </c>
      <c r="BC288">
        <v>1</v>
      </c>
      <c r="BE288">
        <v>0</v>
      </c>
      <c r="BF288">
        <v>0</v>
      </c>
      <c r="BG288">
        <v>0</v>
      </c>
      <c r="BH288">
        <v>1925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>"14:43:45.191"</f>
        <v>14:43:45.191</v>
      </c>
      <c r="CJ288">
        <v>3</v>
      </c>
      <c r="CK288">
        <v>2</v>
      </c>
      <c r="CL288">
        <v>0</v>
      </c>
      <c r="CM288">
        <v>2</v>
      </c>
      <c r="CN288">
        <v>0</v>
      </c>
      <c r="CO288">
        <v>6</v>
      </c>
      <c r="CP288" t="s">
        <v>119</v>
      </c>
      <c r="CQ288">
        <v>232</v>
      </c>
      <c r="CR288">
        <v>1</v>
      </c>
      <c r="CW288">
        <v>14923704</v>
      </c>
      <c r="CY288">
        <v>1</v>
      </c>
      <c r="CZ288">
        <v>0</v>
      </c>
      <c r="DA288">
        <v>0</v>
      </c>
      <c r="DB288">
        <v>0</v>
      </c>
      <c r="DC288">
        <v>0</v>
      </c>
      <c r="DD288">
        <v>1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"12/16/2021 14:43:45.427"</f>
        <v>12/16/2021 14:43:45.427</v>
      </c>
      <c r="C289" t="str">
        <f t="shared" si="13"/>
        <v>FFDFD3C0</v>
      </c>
      <c r="D289" t="s">
        <v>124</v>
      </c>
      <c r="E289">
        <v>5</v>
      </c>
      <c r="F289">
        <v>1005</v>
      </c>
      <c r="G289" t="s">
        <v>114</v>
      </c>
      <c r="J289" t="s">
        <v>125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"14:43:45.188"</f>
        <v>14:43:45.188</v>
      </c>
      <c r="T289" t="str">
        <f>"14:43:44.688"</f>
        <v>14:43:44.688</v>
      </c>
      <c r="U289" t="str">
        <f t="shared" si="12"/>
        <v>A0F928</v>
      </c>
      <c r="V289">
        <v>0</v>
      </c>
      <c r="W289">
        <v>0</v>
      </c>
      <c r="X289">
        <v>2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1</v>
      </c>
      <c r="AI289" t="s">
        <v>267</v>
      </c>
      <c r="AJ289">
        <v>35.783285999999997</v>
      </c>
      <c r="AK289" t="s">
        <v>268</v>
      </c>
      <c r="AL289">
        <v>-83.981960000000001</v>
      </c>
      <c r="AM289">
        <v>25</v>
      </c>
      <c r="AN289">
        <v>1650</v>
      </c>
      <c r="AO289" t="s">
        <v>118</v>
      </c>
      <c r="AP289">
        <v>90</v>
      </c>
      <c r="AQ289">
        <v>112</v>
      </c>
      <c r="AR289">
        <v>64</v>
      </c>
      <c r="AZ289">
        <v>300</v>
      </c>
      <c r="BA289">
        <v>1</v>
      </c>
      <c r="BB289" t="str">
        <f t="shared" si="14"/>
        <v xml:space="preserve">N162AM  </v>
      </c>
      <c r="BC289">
        <v>1</v>
      </c>
      <c r="BE289">
        <v>0</v>
      </c>
      <c r="BF289">
        <v>0</v>
      </c>
      <c r="BG289">
        <v>0</v>
      </c>
      <c r="BH289">
        <v>1925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>"14:43:45.191"</f>
        <v>14:43:45.191</v>
      </c>
      <c r="CJ289">
        <v>3</v>
      </c>
      <c r="CK289">
        <v>2</v>
      </c>
      <c r="CL289">
        <v>0</v>
      </c>
      <c r="CM289">
        <v>2</v>
      </c>
      <c r="CN289">
        <v>0</v>
      </c>
      <c r="CO289">
        <v>6</v>
      </c>
      <c r="CP289" t="s">
        <v>119</v>
      </c>
      <c r="CQ289">
        <v>232</v>
      </c>
      <c r="CR289">
        <v>1</v>
      </c>
      <c r="CW289">
        <v>14923704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1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"12/16/2021 14:43:45.427"</f>
        <v>12/16/2021 14:43:45.427</v>
      </c>
      <c r="C290" t="str">
        <f t="shared" si="13"/>
        <v>FFDFD3C0</v>
      </c>
      <c r="D290" t="s">
        <v>133</v>
      </c>
      <c r="E290">
        <v>44</v>
      </c>
      <c r="H290">
        <v>131</v>
      </c>
      <c r="I290" t="s">
        <v>134</v>
      </c>
      <c r="J290" t="s">
        <v>135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"14:43:45.188"</f>
        <v>14:43:45.188</v>
      </c>
      <c r="T290" t="str">
        <f>"14:43:44.688"</f>
        <v>14:43:44.688</v>
      </c>
      <c r="U290" t="str">
        <f t="shared" si="12"/>
        <v>A0F928</v>
      </c>
      <c r="V290">
        <v>0</v>
      </c>
      <c r="W290">
        <v>0</v>
      </c>
      <c r="X290">
        <v>2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1</v>
      </c>
      <c r="AI290" t="s">
        <v>267</v>
      </c>
      <c r="AJ290">
        <v>35.783285999999997</v>
      </c>
      <c r="AK290" t="s">
        <v>268</v>
      </c>
      <c r="AL290">
        <v>-83.981960000000001</v>
      </c>
      <c r="AM290">
        <v>25</v>
      </c>
      <c r="AN290">
        <v>1650</v>
      </c>
      <c r="AO290" t="s">
        <v>118</v>
      </c>
      <c r="AP290">
        <v>90</v>
      </c>
      <c r="AQ290">
        <v>112</v>
      </c>
      <c r="AR290">
        <v>64</v>
      </c>
      <c r="AZ290">
        <v>300</v>
      </c>
      <c r="BA290">
        <v>1</v>
      </c>
      <c r="BB290" t="str">
        <f t="shared" si="14"/>
        <v xml:space="preserve">N162AM  </v>
      </c>
      <c r="BC290">
        <v>1</v>
      </c>
      <c r="BE290">
        <v>0</v>
      </c>
      <c r="BF290">
        <v>0</v>
      </c>
      <c r="BG290">
        <v>0</v>
      </c>
      <c r="BH290">
        <v>1925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>"14:43:45.191"</f>
        <v>14:43:45.191</v>
      </c>
      <c r="CJ290">
        <v>3</v>
      </c>
      <c r="CK290">
        <v>2</v>
      </c>
      <c r="CL290">
        <v>0</v>
      </c>
      <c r="CM290">
        <v>2</v>
      </c>
      <c r="CN290">
        <v>0</v>
      </c>
      <c r="CO290">
        <v>6</v>
      </c>
      <c r="CP290" t="s">
        <v>119</v>
      </c>
      <c r="CQ290">
        <v>232</v>
      </c>
      <c r="CR290">
        <v>1</v>
      </c>
      <c r="CW290">
        <v>14923704</v>
      </c>
      <c r="CY290">
        <v>1</v>
      </c>
      <c r="CZ290">
        <v>0</v>
      </c>
      <c r="DA290">
        <v>1</v>
      </c>
      <c r="DB290">
        <v>0</v>
      </c>
      <c r="DC290">
        <v>0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"12/16/2021 14:43:45.443"</f>
        <v>12/16/2021 14:43:45.443</v>
      </c>
      <c r="C291" t="str">
        <f t="shared" si="13"/>
        <v>FFDFD3C0</v>
      </c>
      <c r="D291" t="s">
        <v>124</v>
      </c>
      <c r="E291">
        <v>10</v>
      </c>
      <c r="F291">
        <v>1010</v>
      </c>
      <c r="G291" t="s">
        <v>130</v>
      </c>
      <c r="J291" t="s">
        <v>125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"14:43:45.188"</f>
        <v>14:43:45.188</v>
      </c>
      <c r="T291" t="str">
        <f>"14:43:44.688"</f>
        <v>14:43:44.688</v>
      </c>
      <c r="U291" t="str">
        <f t="shared" si="12"/>
        <v>A0F928</v>
      </c>
      <c r="V291">
        <v>0</v>
      </c>
      <c r="W291">
        <v>0</v>
      </c>
      <c r="X291">
        <v>2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1</v>
      </c>
      <c r="AI291" t="s">
        <v>267</v>
      </c>
      <c r="AJ291">
        <v>35.783285999999997</v>
      </c>
      <c r="AK291" t="s">
        <v>268</v>
      </c>
      <c r="AL291">
        <v>-83.981960000000001</v>
      </c>
      <c r="AM291">
        <v>25</v>
      </c>
      <c r="AN291">
        <v>1650</v>
      </c>
      <c r="AO291" t="s">
        <v>118</v>
      </c>
      <c r="AP291">
        <v>90</v>
      </c>
      <c r="AQ291">
        <v>112</v>
      </c>
      <c r="AR291">
        <v>64</v>
      </c>
      <c r="AZ291">
        <v>300</v>
      </c>
      <c r="BA291">
        <v>1</v>
      </c>
      <c r="BB291" t="str">
        <f t="shared" si="14"/>
        <v xml:space="preserve">N162AM  </v>
      </c>
      <c r="BC291">
        <v>1</v>
      </c>
      <c r="BE291">
        <v>0</v>
      </c>
      <c r="BF291">
        <v>0</v>
      </c>
      <c r="BG291">
        <v>0</v>
      </c>
      <c r="BH291">
        <v>1925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>"14:43:45.191"</f>
        <v>14:43:45.191</v>
      </c>
      <c r="CJ291">
        <v>3</v>
      </c>
      <c r="CK291">
        <v>2</v>
      </c>
      <c r="CL291">
        <v>0</v>
      </c>
      <c r="CM291">
        <v>2</v>
      </c>
      <c r="CN291">
        <v>0</v>
      </c>
      <c r="CO291">
        <v>6</v>
      </c>
      <c r="CP291" t="s">
        <v>119</v>
      </c>
      <c r="CQ291">
        <v>232</v>
      </c>
      <c r="CR291">
        <v>1</v>
      </c>
      <c r="CW291">
        <v>14923704</v>
      </c>
      <c r="CY291">
        <v>1</v>
      </c>
      <c r="CZ291">
        <v>0</v>
      </c>
      <c r="DA291">
        <v>1</v>
      </c>
      <c r="DB291">
        <v>0</v>
      </c>
      <c r="DC291">
        <v>0</v>
      </c>
      <c r="DD291">
        <v>1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"12/16/2021 14:43:46.396"</f>
        <v>12/16/2021 14:43:46.396</v>
      </c>
      <c r="C292" t="str">
        <f t="shared" si="13"/>
        <v>FFDFD3C0</v>
      </c>
      <c r="D292" t="s">
        <v>124</v>
      </c>
      <c r="E292">
        <v>10</v>
      </c>
      <c r="F292">
        <v>1010</v>
      </c>
      <c r="G292" t="s">
        <v>130</v>
      </c>
      <c r="J292" t="s">
        <v>125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"14:43:46.172"</f>
        <v>14:43:46.172</v>
      </c>
      <c r="T292" t="str">
        <f>"14:43:45.772"</f>
        <v>14:43:45.772</v>
      </c>
      <c r="U292" t="str">
        <f t="shared" si="12"/>
        <v>A0F928</v>
      </c>
      <c r="V292">
        <v>0</v>
      </c>
      <c r="W292">
        <v>0</v>
      </c>
      <c r="X292">
        <v>2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1</v>
      </c>
      <c r="AI292" t="s">
        <v>269</v>
      </c>
      <c r="AJ292">
        <v>35.783800999999997</v>
      </c>
      <c r="AK292" t="s">
        <v>270</v>
      </c>
      <c r="AL292">
        <v>-83.981487999999999</v>
      </c>
      <c r="AM292">
        <v>25</v>
      </c>
      <c r="AN292">
        <v>1650</v>
      </c>
      <c r="AO292" t="s">
        <v>118</v>
      </c>
      <c r="AP292">
        <v>90</v>
      </c>
      <c r="AQ292">
        <v>112</v>
      </c>
      <c r="AR292">
        <v>64</v>
      </c>
      <c r="AZ292">
        <v>300</v>
      </c>
      <c r="BA292">
        <v>1</v>
      </c>
      <c r="BB292" t="str">
        <f t="shared" si="14"/>
        <v xml:space="preserve">N162AM  </v>
      </c>
      <c r="BC292">
        <v>1</v>
      </c>
      <c r="BE292">
        <v>0</v>
      </c>
      <c r="BF292">
        <v>0</v>
      </c>
      <c r="BG292">
        <v>0</v>
      </c>
      <c r="BH292">
        <v>1925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>"14:43:46.172"</f>
        <v>14:43:46.172</v>
      </c>
      <c r="CJ292">
        <v>3</v>
      </c>
      <c r="CK292">
        <v>2</v>
      </c>
      <c r="CL292">
        <v>0</v>
      </c>
      <c r="CM292">
        <v>2</v>
      </c>
      <c r="CN292">
        <v>0</v>
      </c>
      <c r="CO292">
        <v>6</v>
      </c>
      <c r="CP292" t="s">
        <v>119</v>
      </c>
      <c r="CQ292">
        <v>232</v>
      </c>
      <c r="CR292">
        <v>1</v>
      </c>
      <c r="CW292">
        <v>14925204</v>
      </c>
      <c r="CY292">
        <v>1</v>
      </c>
      <c r="CZ292">
        <v>0</v>
      </c>
      <c r="DA292">
        <v>0</v>
      </c>
      <c r="DB292">
        <v>0</v>
      </c>
      <c r="DC292">
        <v>0</v>
      </c>
      <c r="DD292">
        <v>1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"12/16/2021 14:43:46.396"</f>
        <v>12/16/2021 14:43:46.396</v>
      </c>
      <c r="C293" t="str">
        <f t="shared" si="13"/>
        <v>FFDFD3C0</v>
      </c>
      <c r="D293" t="s">
        <v>113</v>
      </c>
      <c r="E293">
        <v>8</v>
      </c>
      <c r="H293">
        <v>176</v>
      </c>
      <c r="I293" t="s">
        <v>114</v>
      </c>
      <c r="J293" t="s">
        <v>115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"14:43:46.172"</f>
        <v>14:43:46.172</v>
      </c>
      <c r="T293" t="str">
        <f>"14:43:45.772"</f>
        <v>14:43:45.772</v>
      </c>
      <c r="U293" t="str">
        <f t="shared" si="12"/>
        <v>A0F928</v>
      </c>
      <c r="V293">
        <v>0</v>
      </c>
      <c r="W293">
        <v>0</v>
      </c>
      <c r="X293">
        <v>2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1</v>
      </c>
      <c r="AI293" t="s">
        <v>269</v>
      </c>
      <c r="AJ293">
        <v>35.783800999999997</v>
      </c>
      <c r="AK293" t="s">
        <v>270</v>
      </c>
      <c r="AL293">
        <v>-83.981487999999999</v>
      </c>
      <c r="AM293">
        <v>25</v>
      </c>
      <c r="AN293">
        <v>1650</v>
      </c>
      <c r="AO293" t="s">
        <v>118</v>
      </c>
      <c r="AP293">
        <v>90</v>
      </c>
      <c r="AQ293">
        <v>112</v>
      </c>
      <c r="AR293">
        <v>64</v>
      </c>
      <c r="AZ293">
        <v>300</v>
      </c>
      <c r="BA293">
        <v>1</v>
      </c>
      <c r="BB293" t="str">
        <f t="shared" si="14"/>
        <v xml:space="preserve">N162AM  </v>
      </c>
      <c r="BC293">
        <v>1</v>
      </c>
      <c r="BE293">
        <v>0</v>
      </c>
      <c r="BF293">
        <v>0</v>
      </c>
      <c r="BG293">
        <v>0</v>
      </c>
      <c r="BH293">
        <v>1925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>"14:43:46.172"</f>
        <v>14:43:46.172</v>
      </c>
      <c r="CJ293">
        <v>3</v>
      </c>
      <c r="CK293">
        <v>2</v>
      </c>
      <c r="CL293">
        <v>0</v>
      </c>
      <c r="CM293">
        <v>2</v>
      </c>
      <c r="CN293">
        <v>0</v>
      </c>
      <c r="CO293">
        <v>6</v>
      </c>
      <c r="CP293" t="s">
        <v>119</v>
      </c>
      <c r="CQ293">
        <v>232</v>
      </c>
      <c r="CR293">
        <v>1</v>
      </c>
      <c r="CW293">
        <v>14925204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1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"12/16/2021 14:43:46.396"</f>
        <v>12/16/2021 14:43:46.396</v>
      </c>
      <c r="C294" t="str">
        <f t="shared" si="13"/>
        <v>FFDFD3C0</v>
      </c>
      <c r="D294" t="s">
        <v>124</v>
      </c>
      <c r="E294">
        <v>5</v>
      </c>
      <c r="F294">
        <v>1005</v>
      </c>
      <c r="G294" t="s">
        <v>114</v>
      </c>
      <c r="J294" t="s">
        <v>125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"14:43:46.172"</f>
        <v>14:43:46.172</v>
      </c>
      <c r="T294" t="str">
        <f>"14:43:45.772"</f>
        <v>14:43:45.772</v>
      </c>
      <c r="U294" t="str">
        <f t="shared" si="12"/>
        <v>A0F928</v>
      </c>
      <c r="V294">
        <v>0</v>
      </c>
      <c r="W294">
        <v>0</v>
      </c>
      <c r="X294">
        <v>2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1</v>
      </c>
      <c r="AI294" t="s">
        <v>269</v>
      </c>
      <c r="AJ294">
        <v>35.783800999999997</v>
      </c>
      <c r="AK294" t="s">
        <v>270</v>
      </c>
      <c r="AL294">
        <v>-83.981487999999999</v>
      </c>
      <c r="AM294">
        <v>25</v>
      </c>
      <c r="AN294">
        <v>1650</v>
      </c>
      <c r="AO294" t="s">
        <v>118</v>
      </c>
      <c r="AP294">
        <v>90</v>
      </c>
      <c r="AQ294">
        <v>112</v>
      </c>
      <c r="AR294">
        <v>64</v>
      </c>
      <c r="AZ294">
        <v>300</v>
      </c>
      <c r="BA294">
        <v>1</v>
      </c>
      <c r="BB294" t="str">
        <f t="shared" si="14"/>
        <v xml:space="preserve">N162AM  </v>
      </c>
      <c r="BC294">
        <v>1</v>
      </c>
      <c r="BE294">
        <v>0</v>
      </c>
      <c r="BF294">
        <v>0</v>
      </c>
      <c r="BG294">
        <v>0</v>
      </c>
      <c r="BH294">
        <v>1925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>"14:43:46.172"</f>
        <v>14:43:46.172</v>
      </c>
      <c r="CJ294">
        <v>3</v>
      </c>
      <c r="CK294">
        <v>2</v>
      </c>
      <c r="CL294">
        <v>0</v>
      </c>
      <c r="CM294">
        <v>2</v>
      </c>
      <c r="CN294">
        <v>0</v>
      </c>
      <c r="CO294">
        <v>6</v>
      </c>
      <c r="CP294" t="s">
        <v>119</v>
      </c>
      <c r="CQ294">
        <v>232</v>
      </c>
      <c r="CR294">
        <v>1</v>
      </c>
      <c r="CW294">
        <v>14925204</v>
      </c>
      <c r="CY294">
        <v>1</v>
      </c>
      <c r="CZ294">
        <v>0</v>
      </c>
      <c r="DA294">
        <v>1</v>
      </c>
      <c r="DB294">
        <v>0</v>
      </c>
      <c r="DC294">
        <v>0</v>
      </c>
      <c r="DD294">
        <v>1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"12/16/2021 14:43:46.396"</f>
        <v>12/16/2021 14:43:46.396</v>
      </c>
      <c r="C295" t="str">
        <f t="shared" si="13"/>
        <v>FFDFD3C0</v>
      </c>
      <c r="D295" t="s">
        <v>133</v>
      </c>
      <c r="E295">
        <v>44</v>
      </c>
      <c r="H295">
        <v>131</v>
      </c>
      <c r="I295" t="s">
        <v>134</v>
      </c>
      <c r="J295" t="s">
        <v>135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"14:43:46.172"</f>
        <v>14:43:46.172</v>
      </c>
      <c r="T295" t="str">
        <f>"14:43:45.772"</f>
        <v>14:43:45.772</v>
      </c>
      <c r="U295" t="str">
        <f t="shared" si="12"/>
        <v>A0F928</v>
      </c>
      <c r="V295">
        <v>0</v>
      </c>
      <c r="W295">
        <v>0</v>
      </c>
      <c r="X295">
        <v>2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1</v>
      </c>
      <c r="AI295" t="s">
        <v>269</v>
      </c>
      <c r="AJ295">
        <v>35.783800999999997</v>
      </c>
      <c r="AK295" t="s">
        <v>270</v>
      </c>
      <c r="AL295">
        <v>-83.981487999999999</v>
      </c>
      <c r="AM295">
        <v>25</v>
      </c>
      <c r="AN295">
        <v>1650</v>
      </c>
      <c r="AO295" t="s">
        <v>118</v>
      </c>
      <c r="AP295">
        <v>90</v>
      </c>
      <c r="AQ295">
        <v>112</v>
      </c>
      <c r="AR295">
        <v>64</v>
      </c>
      <c r="AZ295">
        <v>300</v>
      </c>
      <c r="BA295">
        <v>1</v>
      </c>
      <c r="BB295" t="str">
        <f t="shared" si="14"/>
        <v xml:space="preserve">N162AM  </v>
      </c>
      <c r="BC295">
        <v>1</v>
      </c>
      <c r="BE295">
        <v>0</v>
      </c>
      <c r="BF295">
        <v>0</v>
      </c>
      <c r="BG295">
        <v>0</v>
      </c>
      <c r="BH295">
        <v>1925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>"14:43:46.172"</f>
        <v>14:43:46.172</v>
      </c>
      <c r="CJ295">
        <v>3</v>
      </c>
      <c r="CK295">
        <v>2</v>
      </c>
      <c r="CL295">
        <v>0</v>
      </c>
      <c r="CM295">
        <v>2</v>
      </c>
      <c r="CN295">
        <v>0</v>
      </c>
      <c r="CO295">
        <v>6</v>
      </c>
      <c r="CP295" t="s">
        <v>119</v>
      </c>
      <c r="CQ295">
        <v>232</v>
      </c>
      <c r="CR295">
        <v>1</v>
      </c>
      <c r="CW295">
        <v>14925204</v>
      </c>
      <c r="CY295">
        <v>1</v>
      </c>
      <c r="CZ295">
        <v>0</v>
      </c>
      <c r="DA295">
        <v>1</v>
      </c>
      <c r="DB295">
        <v>0</v>
      </c>
      <c r="DC295">
        <v>0</v>
      </c>
      <c r="DD295">
        <v>1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"12/16/2021 14:43:47.537"</f>
        <v>12/16/2021 14:43:47.537</v>
      </c>
      <c r="C296" t="str">
        <f t="shared" si="13"/>
        <v>FFDFD3C0</v>
      </c>
      <c r="D296" t="s">
        <v>113</v>
      </c>
      <c r="E296">
        <v>8</v>
      </c>
      <c r="H296">
        <v>176</v>
      </c>
      <c r="I296" t="s">
        <v>114</v>
      </c>
      <c r="J296" t="s">
        <v>115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"14:43:47.305"</f>
        <v>14:43:47.305</v>
      </c>
      <c r="T296" t="str">
        <f>"14:43:46.805"</f>
        <v>14:43:46.805</v>
      </c>
      <c r="U296" t="str">
        <f t="shared" si="12"/>
        <v>A0F928</v>
      </c>
      <c r="V296">
        <v>0</v>
      </c>
      <c r="W296">
        <v>0</v>
      </c>
      <c r="X296">
        <v>2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1</v>
      </c>
      <c r="AI296" t="s">
        <v>271</v>
      </c>
      <c r="AJ296">
        <v>35.784379999999999</v>
      </c>
      <c r="AK296" t="s">
        <v>272</v>
      </c>
      <c r="AL296">
        <v>-83.980886999999996</v>
      </c>
      <c r="AM296">
        <v>25</v>
      </c>
      <c r="AN296">
        <v>1650</v>
      </c>
      <c r="AO296" t="s">
        <v>118</v>
      </c>
      <c r="AP296">
        <v>90</v>
      </c>
      <c r="AQ296">
        <v>112</v>
      </c>
      <c r="AR296">
        <v>0</v>
      </c>
      <c r="AZ296">
        <v>300</v>
      </c>
      <c r="BA296">
        <v>1</v>
      </c>
      <c r="BB296" t="str">
        <f t="shared" si="14"/>
        <v xml:space="preserve">N162AM  </v>
      </c>
      <c r="BC296">
        <v>1</v>
      </c>
      <c r="BE296">
        <v>0</v>
      </c>
      <c r="BF296">
        <v>0</v>
      </c>
      <c r="BG296">
        <v>0</v>
      </c>
      <c r="BH296">
        <v>1925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>"14:43:47.308"</f>
        <v>14:43:47.308</v>
      </c>
      <c r="CJ296">
        <v>3</v>
      </c>
      <c r="CK296">
        <v>2</v>
      </c>
      <c r="CL296">
        <v>0</v>
      </c>
      <c r="CM296">
        <v>2</v>
      </c>
      <c r="CN296">
        <v>0</v>
      </c>
      <c r="CO296">
        <v>6</v>
      </c>
      <c r="CP296" t="s">
        <v>119</v>
      </c>
      <c r="CQ296">
        <v>232</v>
      </c>
      <c r="CR296">
        <v>1</v>
      </c>
      <c r="CW296">
        <v>14926976</v>
      </c>
      <c r="CY296">
        <v>1</v>
      </c>
      <c r="CZ296">
        <v>0</v>
      </c>
      <c r="DA296">
        <v>0</v>
      </c>
      <c r="DB296">
        <v>0</v>
      </c>
      <c r="DC296">
        <v>0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"12/16/2021 14:43:47.537"</f>
        <v>12/16/2021 14:43:47.537</v>
      </c>
      <c r="C297" t="str">
        <f t="shared" si="13"/>
        <v>FFDFD3C0</v>
      </c>
      <c r="D297" t="s">
        <v>124</v>
      </c>
      <c r="E297">
        <v>5</v>
      </c>
      <c r="F297">
        <v>1005</v>
      </c>
      <c r="G297" t="s">
        <v>114</v>
      </c>
      <c r="J297" t="s">
        <v>125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"14:43:47.305"</f>
        <v>14:43:47.305</v>
      </c>
      <c r="T297" t="str">
        <f>"14:43:46.805"</f>
        <v>14:43:46.805</v>
      </c>
      <c r="U297" t="str">
        <f t="shared" si="12"/>
        <v>A0F928</v>
      </c>
      <c r="V297">
        <v>0</v>
      </c>
      <c r="W297">
        <v>0</v>
      </c>
      <c r="X297">
        <v>2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1</v>
      </c>
      <c r="AI297" t="s">
        <v>271</v>
      </c>
      <c r="AJ297">
        <v>35.784379999999999</v>
      </c>
      <c r="AK297" t="s">
        <v>272</v>
      </c>
      <c r="AL297">
        <v>-83.980886999999996</v>
      </c>
      <c r="AM297">
        <v>25</v>
      </c>
      <c r="AN297">
        <v>1650</v>
      </c>
      <c r="AO297" t="s">
        <v>118</v>
      </c>
      <c r="AP297">
        <v>90</v>
      </c>
      <c r="AQ297">
        <v>112</v>
      </c>
      <c r="AR297">
        <v>0</v>
      </c>
      <c r="AZ297">
        <v>300</v>
      </c>
      <c r="BA297">
        <v>1</v>
      </c>
      <c r="BB297" t="str">
        <f t="shared" si="14"/>
        <v xml:space="preserve">N162AM  </v>
      </c>
      <c r="BC297">
        <v>1</v>
      </c>
      <c r="BE297">
        <v>0</v>
      </c>
      <c r="BF297">
        <v>0</v>
      </c>
      <c r="BG297">
        <v>0</v>
      </c>
      <c r="BH297">
        <v>1925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>"14:43:47.308"</f>
        <v>14:43:47.308</v>
      </c>
      <c r="CJ297">
        <v>3</v>
      </c>
      <c r="CK297">
        <v>2</v>
      </c>
      <c r="CL297">
        <v>0</v>
      </c>
      <c r="CM297">
        <v>2</v>
      </c>
      <c r="CN297">
        <v>0</v>
      </c>
      <c r="CO297">
        <v>6</v>
      </c>
      <c r="CP297" t="s">
        <v>119</v>
      </c>
      <c r="CQ297">
        <v>232</v>
      </c>
      <c r="CR297">
        <v>1</v>
      </c>
      <c r="CW297">
        <v>14926976</v>
      </c>
      <c r="CY297">
        <v>1</v>
      </c>
      <c r="CZ297">
        <v>0</v>
      </c>
      <c r="DA297">
        <v>1</v>
      </c>
      <c r="DB297">
        <v>0</v>
      </c>
      <c r="DC297">
        <v>0</v>
      </c>
      <c r="DD297">
        <v>1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"12/16/2021 14:43:47.599"</f>
        <v>12/16/2021 14:43:47.599</v>
      </c>
      <c r="C298" t="str">
        <f t="shared" si="13"/>
        <v>FFDFD3C0</v>
      </c>
      <c r="D298" t="s">
        <v>124</v>
      </c>
      <c r="E298">
        <v>10</v>
      </c>
      <c r="F298">
        <v>1010</v>
      </c>
      <c r="G298" t="s">
        <v>130</v>
      </c>
      <c r="J298" t="s">
        <v>125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"14:43:47.305"</f>
        <v>14:43:47.305</v>
      </c>
      <c r="T298" t="str">
        <f>"14:43:46.805"</f>
        <v>14:43:46.805</v>
      </c>
      <c r="U298" t="str">
        <f t="shared" si="12"/>
        <v>A0F928</v>
      </c>
      <c r="V298">
        <v>0</v>
      </c>
      <c r="W298">
        <v>0</v>
      </c>
      <c r="X298">
        <v>2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1</v>
      </c>
      <c r="AI298" t="s">
        <v>271</v>
      </c>
      <c r="AJ298">
        <v>35.784379999999999</v>
      </c>
      <c r="AK298" t="s">
        <v>272</v>
      </c>
      <c r="AL298">
        <v>-83.980886999999996</v>
      </c>
      <c r="AM298">
        <v>25</v>
      </c>
      <c r="AN298">
        <v>1650</v>
      </c>
      <c r="AO298" t="s">
        <v>118</v>
      </c>
      <c r="AP298">
        <v>90</v>
      </c>
      <c r="AQ298">
        <v>112</v>
      </c>
      <c r="AR298">
        <v>0</v>
      </c>
      <c r="AZ298">
        <v>300</v>
      </c>
      <c r="BA298">
        <v>1</v>
      </c>
      <c r="BB298" t="str">
        <f t="shared" si="14"/>
        <v xml:space="preserve">N162AM  </v>
      </c>
      <c r="BC298">
        <v>1</v>
      </c>
      <c r="BE298">
        <v>0</v>
      </c>
      <c r="BF298">
        <v>0</v>
      </c>
      <c r="BG298">
        <v>0</v>
      </c>
      <c r="BH298">
        <v>1925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>"14:43:47.308"</f>
        <v>14:43:47.308</v>
      </c>
      <c r="CJ298">
        <v>3</v>
      </c>
      <c r="CK298">
        <v>2</v>
      </c>
      <c r="CL298">
        <v>0</v>
      </c>
      <c r="CM298">
        <v>2</v>
      </c>
      <c r="CN298">
        <v>0</v>
      </c>
      <c r="CO298">
        <v>6</v>
      </c>
      <c r="CP298" t="s">
        <v>119</v>
      </c>
      <c r="CQ298">
        <v>232</v>
      </c>
      <c r="CR298">
        <v>1</v>
      </c>
      <c r="CW298">
        <v>14926976</v>
      </c>
      <c r="CY298">
        <v>1</v>
      </c>
      <c r="CZ298">
        <v>0</v>
      </c>
      <c r="DA298">
        <v>1</v>
      </c>
      <c r="DB298">
        <v>0</v>
      </c>
      <c r="DC298">
        <v>0</v>
      </c>
      <c r="DD298">
        <v>1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"12/16/2021 14:43:47.599"</f>
        <v>12/16/2021 14:43:47.599</v>
      </c>
      <c r="C299" t="str">
        <f t="shared" si="13"/>
        <v>FFDFD3C0</v>
      </c>
      <c r="D299" t="s">
        <v>133</v>
      </c>
      <c r="E299">
        <v>44</v>
      </c>
      <c r="H299">
        <v>131</v>
      </c>
      <c r="I299" t="s">
        <v>134</v>
      </c>
      <c r="J299" t="s">
        <v>135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"14:43:47.305"</f>
        <v>14:43:47.305</v>
      </c>
      <c r="T299" t="str">
        <f>"14:43:46.805"</f>
        <v>14:43:46.805</v>
      </c>
      <c r="U299" t="str">
        <f t="shared" si="12"/>
        <v>A0F928</v>
      </c>
      <c r="V299">
        <v>0</v>
      </c>
      <c r="W299">
        <v>0</v>
      </c>
      <c r="X299">
        <v>2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1</v>
      </c>
      <c r="AI299" t="s">
        <v>271</v>
      </c>
      <c r="AJ299">
        <v>35.784379999999999</v>
      </c>
      <c r="AK299" t="s">
        <v>272</v>
      </c>
      <c r="AL299">
        <v>-83.980886999999996</v>
      </c>
      <c r="AM299">
        <v>25</v>
      </c>
      <c r="AN299">
        <v>1650</v>
      </c>
      <c r="AO299" t="s">
        <v>118</v>
      </c>
      <c r="AP299">
        <v>90</v>
      </c>
      <c r="AQ299">
        <v>112</v>
      </c>
      <c r="AR299">
        <v>0</v>
      </c>
      <c r="AZ299">
        <v>300</v>
      </c>
      <c r="BA299">
        <v>1</v>
      </c>
      <c r="BB299" t="str">
        <f t="shared" si="14"/>
        <v xml:space="preserve">N162AM  </v>
      </c>
      <c r="BC299">
        <v>1</v>
      </c>
      <c r="BE299">
        <v>0</v>
      </c>
      <c r="BF299">
        <v>0</v>
      </c>
      <c r="BG299">
        <v>0</v>
      </c>
      <c r="BH299">
        <v>1925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>"14:43:47.308"</f>
        <v>14:43:47.308</v>
      </c>
      <c r="CJ299">
        <v>3</v>
      </c>
      <c r="CK299">
        <v>2</v>
      </c>
      <c r="CL299">
        <v>0</v>
      </c>
      <c r="CM299">
        <v>2</v>
      </c>
      <c r="CN299">
        <v>0</v>
      </c>
      <c r="CO299">
        <v>6</v>
      </c>
      <c r="CP299" t="s">
        <v>119</v>
      </c>
      <c r="CQ299">
        <v>232</v>
      </c>
      <c r="CR299">
        <v>1</v>
      </c>
      <c r="CW299">
        <v>14926976</v>
      </c>
      <c r="CY299">
        <v>1</v>
      </c>
      <c r="CZ299">
        <v>0</v>
      </c>
      <c r="DA299">
        <v>1</v>
      </c>
      <c r="DB299">
        <v>0</v>
      </c>
      <c r="DC299">
        <v>0</v>
      </c>
      <c r="DD299">
        <v>1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"12/16/2021 14:43:48.599"</f>
        <v>12/16/2021 14:43:48.599</v>
      </c>
      <c r="C300" t="str">
        <f t="shared" si="13"/>
        <v>FFDFD3C0</v>
      </c>
      <c r="D300" t="s">
        <v>124</v>
      </c>
      <c r="E300">
        <v>5</v>
      </c>
      <c r="F300">
        <v>1005</v>
      </c>
      <c r="G300" t="s">
        <v>114</v>
      </c>
      <c r="J300" t="s">
        <v>125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"14:43:48.391"</f>
        <v>14:43:48.391</v>
      </c>
      <c r="T300" t="str">
        <f>"14:43:47.891"</f>
        <v>14:43:47.891</v>
      </c>
      <c r="U300" t="str">
        <f t="shared" si="12"/>
        <v>A0F928</v>
      </c>
      <c r="V300">
        <v>0</v>
      </c>
      <c r="W300">
        <v>0</v>
      </c>
      <c r="X300">
        <v>2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1</v>
      </c>
      <c r="AI300" t="s">
        <v>273</v>
      </c>
      <c r="AJ300">
        <v>35.784937999999997</v>
      </c>
      <c r="AK300" t="s">
        <v>274</v>
      </c>
      <c r="AL300">
        <v>-83.980350000000001</v>
      </c>
      <c r="AM300">
        <v>25</v>
      </c>
      <c r="AN300">
        <v>1650</v>
      </c>
      <c r="AO300" t="s">
        <v>118</v>
      </c>
      <c r="AP300">
        <v>90</v>
      </c>
      <c r="AQ300">
        <v>112</v>
      </c>
      <c r="AR300">
        <v>0</v>
      </c>
      <c r="AZ300">
        <v>300</v>
      </c>
      <c r="BA300">
        <v>1</v>
      </c>
      <c r="BB300" t="str">
        <f t="shared" si="14"/>
        <v xml:space="preserve">N162AM  </v>
      </c>
      <c r="BC300">
        <v>1</v>
      </c>
      <c r="BE300">
        <v>0</v>
      </c>
      <c r="BF300">
        <v>0</v>
      </c>
      <c r="BG300">
        <v>0</v>
      </c>
      <c r="BH300">
        <v>1900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>"14:43:48.397"</f>
        <v>14:43:48.397</v>
      </c>
      <c r="CJ300">
        <v>3</v>
      </c>
      <c r="CK300">
        <v>2</v>
      </c>
      <c r="CL300">
        <v>0</v>
      </c>
      <c r="CM300">
        <v>2</v>
      </c>
      <c r="CN300">
        <v>0</v>
      </c>
      <c r="CO300">
        <v>6</v>
      </c>
      <c r="CP300" t="s">
        <v>119</v>
      </c>
      <c r="CQ300">
        <v>232</v>
      </c>
      <c r="CR300">
        <v>1</v>
      </c>
      <c r="CW300">
        <v>14928663</v>
      </c>
      <c r="CY300">
        <v>1</v>
      </c>
      <c r="CZ300">
        <v>0</v>
      </c>
      <c r="DA300">
        <v>0</v>
      </c>
      <c r="DB300">
        <v>0</v>
      </c>
      <c r="DC300">
        <v>0</v>
      </c>
      <c r="DD300">
        <v>1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"12/16/2021 14:43:48.599"</f>
        <v>12/16/2021 14:43:48.599</v>
      </c>
      <c r="C301" t="str">
        <f t="shared" si="13"/>
        <v>FFDFD3C0</v>
      </c>
      <c r="D301" t="s">
        <v>113</v>
      </c>
      <c r="E301">
        <v>8</v>
      </c>
      <c r="H301">
        <v>176</v>
      </c>
      <c r="I301" t="s">
        <v>114</v>
      </c>
      <c r="J301" t="s">
        <v>115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"14:43:48.391"</f>
        <v>14:43:48.391</v>
      </c>
      <c r="T301" t="str">
        <f>"14:43:47.891"</f>
        <v>14:43:47.891</v>
      </c>
      <c r="U301" t="str">
        <f t="shared" si="12"/>
        <v>A0F928</v>
      </c>
      <c r="V301">
        <v>0</v>
      </c>
      <c r="W301">
        <v>0</v>
      </c>
      <c r="X301">
        <v>2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1</v>
      </c>
      <c r="AI301" t="s">
        <v>273</v>
      </c>
      <c r="AJ301">
        <v>35.784937999999997</v>
      </c>
      <c r="AK301" t="s">
        <v>274</v>
      </c>
      <c r="AL301">
        <v>-83.980350000000001</v>
      </c>
      <c r="AM301">
        <v>25</v>
      </c>
      <c r="AN301">
        <v>1650</v>
      </c>
      <c r="AO301" t="s">
        <v>118</v>
      </c>
      <c r="AP301">
        <v>90</v>
      </c>
      <c r="AQ301">
        <v>112</v>
      </c>
      <c r="AR301">
        <v>0</v>
      </c>
      <c r="AZ301">
        <v>300</v>
      </c>
      <c r="BA301">
        <v>1</v>
      </c>
      <c r="BB301" t="str">
        <f t="shared" si="14"/>
        <v xml:space="preserve">N162AM  </v>
      </c>
      <c r="BC301">
        <v>1</v>
      </c>
      <c r="BE301">
        <v>0</v>
      </c>
      <c r="BF301">
        <v>0</v>
      </c>
      <c r="BG301">
        <v>0</v>
      </c>
      <c r="BH301">
        <v>1900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>"14:43:48.397"</f>
        <v>14:43:48.397</v>
      </c>
      <c r="CJ301">
        <v>3</v>
      </c>
      <c r="CK301">
        <v>2</v>
      </c>
      <c r="CL301">
        <v>0</v>
      </c>
      <c r="CM301">
        <v>2</v>
      </c>
      <c r="CN301">
        <v>0</v>
      </c>
      <c r="CO301">
        <v>6</v>
      </c>
      <c r="CP301" t="s">
        <v>119</v>
      </c>
      <c r="CQ301">
        <v>232</v>
      </c>
      <c r="CR301">
        <v>1</v>
      </c>
      <c r="CW301">
        <v>14928663</v>
      </c>
      <c r="CY301">
        <v>1</v>
      </c>
      <c r="CZ301">
        <v>0</v>
      </c>
      <c r="DA301">
        <v>1</v>
      </c>
      <c r="DB301">
        <v>0</v>
      </c>
      <c r="DC301">
        <v>0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"12/16/2021 14:43:48.631"</f>
        <v>12/16/2021 14:43:48.631</v>
      </c>
      <c r="C302" t="str">
        <f t="shared" si="13"/>
        <v>FFDFD3C0</v>
      </c>
      <c r="D302" t="s">
        <v>124</v>
      </c>
      <c r="E302">
        <v>10</v>
      </c>
      <c r="F302">
        <v>1010</v>
      </c>
      <c r="G302" t="s">
        <v>130</v>
      </c>
      <c r="J302" t="s">
        <v>125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"14:43:48.391"</f>
        <v>14:43:48.391</v>
      </c>
      <c r="T302" t="str">
        <f>"14:43:47.891"</f>
        <v>14:43:47.891</v>
      </c>
      <c r="U302" t="str">
        <f t="shared" si="12"/>
        <v>A0F928</v>
      </c>
      <c r="V302">
        <v>0</v>
      </c>
      <c r="W302">
        <v>0</v>
      </c>
      <c r="X302">
        <v>2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1</v>
      </c>
      <c r="AI302" t="s">
        <v>273</v>
      </c>
      <c r="AJ302">
        <v>35.784937999999997</v>
      </c>
      <c r="AK302" t="s">
        <v>274</v>
      </c>
      <c r="AL302">
        <v>-83.980350000000001</v>
      </c>
      <c r="AM302">
        <v>25</v>
      </c>
      <c r="AN302">
        <v>1650</v>
      </c>
      <c r="AO302" t="s">
        <v>118</v>
      </c>
      <c r="AP302">
        <v>90</v>
      </c>
      <c r="AQ302">
        <v>112</v>
      </c>
      <c r="AR302">
        <v>0</v>
      </c>
      <c r="AZ302">
        <v>300</v>
      </c>
      <c r="BA302">
        <v>1</v>
      </c>
      <c r="BB302" t="str">
        <f t="shared" si="14"/>
        <v xml:space="preserve">N162AM  </v>
      </c>
      <c r="BC302">
        <v>1</v>
      </c>
      <c r="BE302">
        <v>0</v>
      </c>
      <c r="BF302">
        <v>0</v>
      </c>
      <c r="BG302">
        <v>0</v>
      </c>
      <c r="BH302">
        <v>1900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>"14:43:48.397"</f>
        <v>14:43:48.397</v>
      </c>
      <c r="CJ302">
        <v>3</v>
      </c>
      <c r="CK302">
        <v>2</v>
      </c>
      <c r="CL302">
        <v>0</v>
      </c>
      <c r="CM302">
        <v>2</v>
      </c>
      <c r="CN302">
        <v>0</v>
      </c>
      <c r="CO302">
        <v>6</v>
      </c>
      <c r="CP302" t="s">
        <v>119</v>
      </c>
      <c r="CQ302">
        <v>232</v>
      </c>
      <c r="CR302">
        <v>1</v>
      </c>
      <c r="CW302">
        <v>14928663</v>
      </c>
      <c r="CY302">
        <v>1</v>
      </c>
      <c r="CZ302">
        <v>0</v>
      </c>
      <c r="DA302">
        <v>1</v>
      </c>
      <c r="DB302">
        <v>0</v>
      </c>
      <c r="DC302">
        <v>0</v>
      </c>
      <c r="DD302">
        <v>1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"12/16/2021 14:43:48.631"</f>
        <v>12/16/2021 14:43:48.631</v>
      </c>
      <c r="C303" t="str">
        <f t="shared" si="13"/>
        <v>FFDFD3C0</v>
      </c>
      <c r="D303" t="s">
        <v>133</v>
      </c>
      <c r="E303">
        <v>44</v>
      </c>
      <c r="H303">
        <v>131</v>
      </c>
      <c r="I303" t="s">
        <v>134</v>
      </c>
      <c r="J303" t="s">
        <v>135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"14:43:48.391"</f>
        <v>14:43:48.391</v>
      </c>
      <c r="T303" t="str">
        <f>"14:43:47.891"</f>
        <v>14:43:47.891</v>
      </c>
      <c r="U303" t="str">
        <f t="shared" si="12"/>
        <v>A0F928</v>
      </c>
      <c r="V303">
        <v>0</v>
      </c>
      <c r="W303">
        <v>0</v>
      </c>
      <c r="X303">
        <v>2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1</v>
      </c>
      <c r="AI303" t="s">
        <v>273</v>
      </c>
      <c r="AJ303">
        <v>35.784937999999997</v>
      </c>
      <c r="AK303" t="s">
        <v>274</v>
      </c>
      <c r="AL303">
        <v>-83.980350000000001</v>
      </c>
      <c r="AM303">
        <v>25</v>
      </c>
      <c r="AN303">
        <v>1650</v>
      </c>
      <c r="AO303" t="s">
        <v>118</v>
      </c>
      <c r="AP303">
        <v>90</v>
      </c>
      <c r="AQ303">
        <v>112</v>
      </c>
      <c r="AR303">
        <v>0</v>
      </c>
      <c r="AZ303">
        <v>300</v>
      </c>
      <c r="BA303">
        <v>1</v>
      </c>
      <c r="BB303" t="str">
        <f t="shared" si="14"/>
        <v xml:space="preserve">N162AM  </v>
      </c>
      <c r="BC303">
        <v>1</v>
      </c>
      <c r="BE303">
        <v>0</v>
      </c>
      <c r="BF303">
        <v>0</v>
      </c>
      <c r="BG303">
        <v>0</v>
      </c>
      <c r="BH303">
        <v>1900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>"14:43:48.397"</f>
        <v>14:43:48.397</v>
      </c>
      <c r="CJ303">
        <v>3</v>
      </c>
      <c r="CK303">
        <v>2</v>
      </c>
      <c r="CL303">
        <v>0</v>
      </c>
      <c r="CM303">
        <v>2</v>
      </c>
      <c r="CN303">
        <v>0</v>
      </c>
      <c r="CO303">
        <v>6</v>
      </c>
      <c r="CP303" t="s">
        <v>119</v>
      </c>
      <c r="CQ303">
        <v>232</v>
      </c>
      <c r="CR303">
        <v>1</v>
      </c>
      <c r="CW303">
        <v>14928663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1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"12/16/2021 14:43:49.584"</f>
        <v>12/16/2021 14:43:49.584</v>
      </c>
      <c r="C304" t="str">
        <f t="shared" si="13"/>
        <v>FFDFD3C0</v>
      </c>
      <c r="D304" t="s">
        <v>124</v>
      </c>
      <c r="E304">
        <v>5</v>
      </c>
      <c r="F304">
        <v>1005</v>
      </c>
      <c r="G304" t="s">
        <v>114</v>
      </c>
      <c r="J304" t="s">
        <v>125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"14:43:49.398"</f>
        <v>14:43:49.398</v>
      </c>
      <c r="T304" t="str">
        <f>"14:43:48.898"</f>
        <v>14:43:48.898</v>
      </c>
      <c r="U304" t="str">
        <f t="shared" si="12"/>
        <v>A0F928</v>
      </c>
      <c r="V304">
        <v>0</v>
      </c>
      <c r="W304">
        <v>0</v>
      </c>
      <c r="X304">
        <v>2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1</v>
      </c>
      <c r="AI304" t="s">
        <v>275</v>
      </c>
      <c r="AJ304">
        <v>35.785496000000002</v>
      </c>
      <c r="AK304" t="s">
        <v>276</v>
      </c>
      <c r="AL304">
        <v>-83.979836000000006</v>
      </c>
      <c r="AM304">
        <v>25</v>
      </c>
      <c r="AN304">
        <v>1650</v>
      </c>
      <c r="AO304" t="s">
        <v>118</v>
      </c>
      <c r="AP304">
        <v>90</v>
      </c>
      <c r="AQ304">
        <v>111</v>
      </c>
      <c r="AR304">
        <v>0</v>
      </c>
      <c r="AZ304">
        <v>300</v>
      </c>
      <c r="BA304">
        <v>1</v>
      </c>
      <c r="BB304" t="str">
        <f t="shared" si="14"/>
        <v xml:space="preserve">N162AM  </v>
      </c>
      <c r="BC304">
        <v>1</v>
      </c>
      <c r="BE304">
        <v>0</v>
      </c>
      <c r="BF304">
        <v>0</v>
      </c>
      <c r="BG304">
        <v>0</v>
      </c>
      <c r="BH304">
        <v>1900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>"14:43:49.403"</f>
        <v>14:43:49.403</v>
      </c>
      <c r="CJ304">
        <v>3</v>
      </c>
      <c r="CK304">
        <v>2</v>
      </c>
      <c r="CL304">
        <v>0</v>
      </c>
      <c r="CM304">
        <v>2</v>
      </c>
      <c r="CN304">
        <v>0</v>
      </c>
      <c r="CO304">
        <v>6</v>
      </c>
      <c r="CP304" t="s">
        <v>119</v>
      </c>
      <c r="CQ304">
        <v>232</v>
      </c>
      <c r="CR304">
        <v>1</v>
      </c>
      <c r="CW304">
        <v>14930313</v>
      </c>
      <c r="CY304">
        <v>1</v>
      </c>
      <c r="CZ304">
        <v>0</v>
      </c>
      <c r="DA304">
        <v>0</v>
      </c>
      <c r="DB304">
        <v>0</v>
      </c>
      <c r="DC304">
        <v>0</v>
      </c>
      <c r="DD304">
        <v>1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"12/16/2021 14:43:49.592"</f>
        <v>12/16/2021 14:43:49.592</v>
      </c>
      <c r="C305" t="str">
        <f t="shared" si="13"/>
        <v>FFDFD3C0</v>
      </c>
      <c r="D305" t="s">
        <v>113</v>
      </c>
      <c r="E305">
        <v>8</v>
      </c>
      <c r="H305">
        <v>176</v>
      </c>
      <c r="I305" t="s">
        <v>114</v>
      </c>
      <c r="J305" t="s">
        <v>115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"14:43:49.398"</f>
        <v>14:43:49.398</v>
      </c>
      <c r="T305" t="str">
        <f>"14:43:48.898"</f>
        <v>14:43:48.898</v>
      </c>
      <c r="U305" t="str">
        <f t="shared" si="12"/>
        <v>A0F928</v>
      </c>
      <c r="V305">
        <v>0</v>
      </c>
      <c r="W305">
        <v>0</v>
      </c>
      <c r="X305">
        <v>2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1</v>
      </c>
      <c r="AI305" t="s">
        <v>275</v>
      </c>
      <c r="AJ305">
        <v>35.785496000000002</v>
      </c>
      <c r="AK305" t="s">
        <v>276</v>
      </c>
      <c r="AL305">
        <v>-83.979836000000006</v>
      </c>
      <c r="AM305">
        <v>25</v>
      </c>
      <c r="AN305">
        <v>1650</v>
      </c>
      <c r="AO305" t="s">
        <v>118</v>
      </c>
      <c r="AP305">
        <v>90</v>
      </c>
      <c r="AQ305">
        <v>111</v>
      </c>
      <c r="AR305">
        <v>0</v>
      </c>
      <c r="AZ305">
        <v>300</v>
      </c>
      <c r="BA305">
        <v>1</v>
      </c>
      <c r="BB305" t="str">
        <f t="shared" si="14"/>
        <v xml:space="preserve">N162AM  </v>
      </c>
      <c r="BC305">
        <v>1</v>
      </c>
      <c r="BE305">
        <v>0</v>
      </c>
      <c r="BF305">
        <v>0</v>
      </c>
      <c r="BG305">
        <v>0</v>
      </c>
      <c r="BH305">
        <v>1900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>"14:43:49.403"</f>
        <v>14:43:49.403</v>
      </c>
      <c r="CJ305">
        <v>3</v>
      </c>
      <c r="CK305">
        <v>2</v>
      </c>
      <c r="CL305">
        <v>0</v>
      </c>
      <c r="CM305">
        <v>2</v>
      </c>
      <c r="CN305">
        <v>0</v>
      </c>
      <c r="CO305">
        <v>6</v>
      </c>
      <c r="CP305" t="s">
        <v>119</v>
      </c>
      <c r="CQ305">
        <v>232</v>
      </c>
      <c r="CR305">
        <v>1</v>
      </c>
      <c r="CW305">
        <v>14930313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1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"12/16/2021 14:43:49.614"</f>
        <v>12/16/2021 14:43:49.614</v>
      </c>
      <c r="C306" t="str">
        <f t="shared" si="13"/>
        <v>FFDFD3C0</v>
      </c>
      <c r="D306" t="s">
        <v>124</v>
      </c>
      <c r="E306">
        <v>10</v>
      </c>
      <c r="F306">
        <v>1010</v>
      </c>
      <c r="G306" t="s">
        <v>130</v>
      </c>
      <c r="J306" t="s">
        <v>125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"14:43:49.398"</f>
        <v>14:43:49.398</v>
      </c>
      <c r="T306" t="str">
        <f>"14:43:48.898"</f>
        <v>14:43:48.898</v>
      </c>
      <c r="U306" t="str">
        <f t="shared" si="12"/>
        <v>A0F928</v>
      </c>
      <c r="V306">
        <v>0</v>
      </c>
      <c r="W306">
        <v>0</v>
      </c>
      <c r="X306">
        <v>2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1</v>
      </c>
      <c r="AI306" t="s">
        <v>275</v>
      </c>
      <c r="AJ306">
        <v>35.785496000000002</v>
      </c>
      <c r="AK306" t="s">
        <v>276</v>
      </c>
      <c r="AL306">
        <v>-83.979836000000006</v>
      </c>
      <c r="AM306">
        <v>25</v>
      </c>
      <c r="AN306">
        <v>1650</v>
      </c>
      <c r="AO306" t="s">
        <v>118</v>
      </c>
      <c r="AP306">
        <v>90</v>
      </c>
      <c r="AQ306">
        <v>111</v>
      </c>
      <c r="AR306">
        <v>0</v>
      </c>
      <c r="AZ306">
        <v>300</v>
      </c>
      <c r="BA306">
        <v>1</v>
      </c>
      <c r="BB306" t="str">
        <f t="shared" si="14"/>
        <v xml:space="preserve">N162AM  </v>
      </c>
      <c r="BC306">
        <v>1</v>
      </c>
      <c r="BE306">
        <v>0</v>
      </c>
      <c r="BF306">
        <v>0</v>
      </c>
      <c r="BG306">
        <v>0</v>
      </c>
      <c r="BH306">
        <v>1900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>"14:43:49.403"</f>
        <v>14:43:49.403</v>
      </c>
      <c r="CJ306">
        <v>3</v>
      </c>
      <c r="CK306">
        <v>2</v>
      </c>
      <c r="CL306">
        <v>0</v>
      </c>
      <c r="CM306">
        <v>2</v>
      </c>
      <c r="CN306">
        <v>0</v>
      </c>
      <c r="CO306">
        <v>6</v>
      </c>
      <c r="CP306" t="s">
        <v>119</v>
      </c>
      <c r="CQ306">
        <v>232</v>
      </c>
      <c r="CR306">
        <v>1</v>
      </c>
      <c r="CW306">
        <v>14930313</v>
      </c>
      <c r="CY306">
        <v>1</v>
      </c>
      <c r="CZ306">
        <v>0</v>
      </c>
      <c r="DA306">
        <v>1</v>
      </c>
      <c r="DB306">
        <v>0</v>
      </c>
      <c r="DC306">
        <v>0</v>
      </c>
      <c r="DD306">
        <v>1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"12/16/2021 14:43:49.663"</f>
        <v>12/16/2021 14:43:49.663</v>
      </c>
      <c r="C307" t="str">
        <f t="shared" si="13"/>
        <v>FFDFD3C0</v>
      </c>
      <c r="D307" t="s">
        <v>133</v>
      </c>
      <c r="E307">
        <v>44</v>
      </c>
      <c r="H307">
        <v>131</v>
      </c>
      <c r="I307" t="s">
        <v>134</v>
      </c>
      <c r="J307" t="s">
        <v>135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"14:43:49.398"</f>
        <v>14:43:49.398</v>
      </c>
      <c r="T307" t="str">
        <f>"14:43:48.898"</f>
        <v>14:43:48.898</v>
      </c>
      <c r="U307" t="str">
        <f t="shared" si="12"/>
        <v>A0F928</v>
      </c>
      <c r="V307">
        <v>0</v>
      </c>
      <c r="W307">
        <v>0</v>
      </c>
      <c r="X307">
        <v>2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1</v>
      </c>
      <c r="AI307" t="s">
        <v>275</v>
      </c>
      <c r="AJ307">
        <v>35.785496000000002</v>
      </c>
      <c r="AK307" t="s">
        <v>276</v>
      </c>
      <c r="AL307">
        <v>-83.979836000000006</v>
      </c>
      <c r="AM307">
        <v>25</v>
      </c>
      <c r="AN307">
        <v>1650</v>
      </c>
      <c r="AO307" t="s">
        <v>118</v>
      </c>
      <c r="AP307">
        <v>90</v>
      </c>
      <c r="AQ307">
        <v>111</v>
      </c>
      <c r="AR307">
        <v>0</v>
      </c>
      <c r="AZ307">
        <v>300</v>
      </c>
      <c r="BA307">
        <v>1</v>
      </c>
      <c r="BB307" t="str">
        <f t="shared" si="14"/>
        <v xml:space="preserve">N162AM  </v>
      </c>
      <c r="BC307">
        <v>1</v>
      </c>
      <c r="BE307">
        <v>0</v>
      </c>
      <c r="BF307">
        <v>0</v>
      </c>
      <c r="BG307">
        <v>0</v>
      </c>
      <c r="BH307">
        <v>1900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>"14:43:49.403"</f>
        <v>14:43:49.403</v>
      </c>
      <c r="CJ307">
        <v>3</v>
      </c>
      <c r="CK307">
        <v>2</v>
      </c>
      <c r="CL307">
        <v>0</v>
      </c>
      <c r="CM307">
        <v>2</v>
      </c>
      <c r="CN307">
        <v>0</v>
      </c>
      <c r="CO307">
        <v>6</v>
      </c>
      <c r="CP307" t="s">
        <v>119</v>
      </c>
      <c r="CQ307">
        <v>232</v>
      </c>
      <c r="CR307">
        <v>1</v>
      </c>
      <c r="CW307">
        <v>14930313</v>
      </c>
      <c r="CY307">
        <v>1</v>
      </c>
      <c r="CZ307">
        <v>0</v>
      </c>
      <c r="DA307">
        <v>1</v>
      </c>
      <c r="DB307">
        <v>0</v>
      </c>
      <c r="DC307">
        <v>0</v>
      </c>
      <c r="DD307">
        <v>1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"12/16/2021 14:43:50.648"</f>
        <v>12/16/2021 14:43:50.648</v>
      </c>
      <c r="C308" t="str">
        <f t="shared" si="13"/>
        <v>FFDFD3C0</v>
      </c>
      <c r="D308" t="s">
        <v>124</v>
      </c>
      <c r="E308">
        <v>5</v>
      </c>
      <c r="F308">
        <v>1005</v>
      </c>
      <c r="G308" t="s">
        <v>114</v>
      </c>
      <c r="J308" t="s">
        <v>125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"14:43:50.422"</f>
        <v>14:43:50.422</v>
      </c>
      <c r="T308" t="str">
        <f>"14:43:49.422"</f>
        <v>14:43:49.422</v>
      </c>
      <c r="U308" t="str">
        <f t="shared" si="12"/>
        <v>A0F928</v>
      </c>
      <c r="V308">
        <v>0</v>
      </c>
      <c r="W308">
        <v>0</v>
      </c>
      <c r="X308">
        <v>2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1</v>
      </c>
      <c r="AI308" t="s">
        <v>277</v>
      </c>
      <c r="AJ308">
        <v>35.785989999999998</v>
      </c>
      <c r="AK308" t="s">
        <v>278</v>
      </c>
      <c r="AL308">
        <v>-83.979320999999999</v>
      </c>
      <c r="AM308">
        <v>25</v>
      </c>
      <c r="AN308">
        <v>1650</v>
      </c>
      <c r="AO308" t="s">
        <v>118</v>
      </c>
      <c r="AP308">
        <v>90</v>
      </c>
      <c r="AQ308">
        <v>111</v>
      </c>
      <c r="AR308">
        <v>-64</v>
      </c>
      <c r="AZ308">
        <v>300</v>
      </c>
      <c r="BA308">
        <v>1</v>
      </c>
      <c r="BB308" t="str">
        <f t="shared" si="14"/>
        <v xml:space="preserve">N162AM  </v>
      </c>
      <c r="BC308">
        <v>1</v>
      </c>
      <c r="BE308">
        <v>0</v>
      </c>
      <c r="BF308">
        <v>0</v>
      </c>
      <c r="BG308">
        <v>0</v>
      </c>
      <c r="BH308">
        <v>1900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>"14:43:50.429"</f>
        <v>14:43:50.429</v>
      </c>
      <c r="CJ308">
        <v>3</v>
      </c>
      <c r="CK308">
        <v>2</v>
      </c>
      <c r="CL308">
        <v>0</v>
      </c>
      <c r="CM308">
        <v>2</v>
      </c>
      <c r="CN308">
        <v>0</v>
      </c>
      <c r="CO308">
        <v>6</v>
      </c>
      <c r="CP308" t="s">
        <v>119</v>
      </c>
      <c r="CQ308">
        <v>232</v>
      </c>
      <c r="CR308">
        <v>2</v>
      </c>
      <c r="CW308">
        <v>6129412</v>
      </c>
      <c r="CY308">
        <v>1</v>
      </c>
      <c r="CZ308">
        <v>0</v>
      </c>
      <c r="DA308">
        <v>0</v>
      </c>
      <c r="DB308">
        <v>0</v>
      </c>
      <c r="DC308">
        <v>0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"12/16/2021 14:43:50.710"</f>
        <v>12/16/2021 14:43:50.710</v>
      </c>
      <c r="C309" t="str">
        <f t="shared" si="13"/>
        <v>FFDFD3C0</v>
      </c>
      <c r="D309" t="s">
        <v>124</v>
      </c>
      <c r="E309">
        <v>10</v>
      </c>
      <c r="F309">
        <v>1010</v>
      </c>
      <c r="G309" t="s">
        <v>130</v>
      </c>
      <c r="J309" t="s">
        <v>125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"14:43:50.422"</f>
        <v>14:43:50.422</v>
      </c>
      <c r="T309" t="str">
        <f>"14:43:49.422"</f>
        <v>14:43:49.422</v>
      </c>
      <c r="U309" t="str">
        <f t="shared" si="12"/>
        <v>A0F928</v>
      </c>
      <c r="V309">
        <v>0</v>
      </c>
      <c r="W309">
        <v>0</v>
      </c>
      <c r="X309">
        <v>2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1</v>
      </c>
      <c r="AI309" t="s">
        <v>277</v>
      </c>
      <c r="AJ309">
        <v>35.785989999999998</v>
      </c>
      <c r="AK309" t="s">
        <v>278</v>
      </c>
      <c r="AL309">
        <v>-83.979320999999999</v>
      </c>
      <c r="AM309">
        <v>25</v>
      </c>
      <c r="AN309">
        <v>1650</v>
      </c>
      <c r="AO309" t="s">
        <v>118</v>
      </c>
      <c r="AP309">
        <v>90</v>
      </c>
      <c r="AQ309">
        <v>111</v>
      </c>
      <c r="AR309">
        <v>-64</v>
      </c>
      <c r="AZ309">
        <v>300</v>
      </c>
      <c r="BA309">
        <v>1</v>
      </c>
      <c r="BB309" t="str">
        <f t="shared" si="14"/>
        <v xml:space="preserve">N162AM  </v>
      </c>
      <c r="BC309">
        <v>1</v>
      </c>
      <c r="BE309">
        <v>0</v>
      </c>
      <c r="BF309">
        <v>0</v>
      </c>
      <c r="BG309">
        <v>0</v>
      </c>
      <c r="BH309">
        <v>1900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>"14:43:50.429"</f>
        <v>14:43:50.429</v>
      </c>
      <c r="CJ309">
        <v>3</v>
      </c>
      <c r="CK309">
        <v>2</v>
      </c>
      <c r="CL309">
        <v>0</v>
      </c>
      <c r="CM309">
        <v>2</v>
      </c>
      <c r="CN309">
        <v>0</v>
      </c>
      <c r="CO309">
        <v>6</v>
      </c>
      <c r="CP309" t="s">
        <v>119</v>
      </c>
      <c r="CQ309">
        <v>232</v>
      </c>
      <c r="CR309">
        <v>2</v>
      </c>
      <c r="CW309">
        <v>6129412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1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"12/16/2021 14:43:50.710"</f>
        <v>12/16/2021 14:43:50.710</v>
      </c>
      <c r="C310" t="str">
        <f t="shared" si="13"/>
        <v>FFDFD3C0</v>
      </c>
      <c r="D310" t="s">
        <v>133</v>
      </c>
      <c r="E310">
        <v>44</v>
      </c>
      <c r="H310">
        <v>131</v>
      </c>
      <c r="I310" t="s">
        <v>134</v>
      </c>
      <c r="J310" t="s">
        <v>135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"14:43:50.422"</f>
        <v>14:43:50.422</v>
      </c>
      <c r="T310" t="str">
        <f>"14:43:49.422"</f>
        <v>14:43:49.422</v>
      </c>
      <c r="U310" t="str">
        <f t="shared" si="12"/>
        <v>A0F928</v>
      </c>
      <c r="V310">
        <v>0</v>
      </c>
      <c r="W310">
        <v>0</v>
      </c>
      <c r="X310">
        <v>2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1</v>
      </c>
      <c r="AI310" t="s">
        <v>277</v>
      </c>
      <c r="AJ310">
        <v>35.785989999999998</v>
      </c>
      <c r="AK310" t="s">
        <v>278</v>
      </c>
      <c r="AL310">
        <v>-83.979320999999999</v>
      </c>
      <c r="AM310">
        <v>25</v>
      </c>
      <c r="AN310">
        <v>1650</v>
      </c>
      <c r="AO310" t="s">
        <v>118</v>
      </c>
      <c r="AP310">
        <v>90</v>
      </c>
      <c r="AQ310">
        <v>111</v>
      </c>
      <c r="AR310">
        <v>-64</v>
      </c>
      <c r="AZ310">
        <v>300</v>
      </c>
      <c r="BA310">
        <v>1</v>
      </c>
      <c r="BB310" t="str">
        <f t="shared" si="14"/>
        <v xml:space="preserve">N162AM  </v>
      </c>
      <c r="BC310">
        <v>1</v>
      </c>
      <c r="BE310">
        <v>0</v>
      </c>
      <c r="BF310">
        <v>0</v>
      </c>
      <c r="BG310">
        <v>0</v>
      </c>
      <c r="BH310">
        <v>1900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>"14:43:50.429"</f>
        <v>14:43:50.429</v>
      </c>
      <c r="CJ310">
        <v>3</v>
      </c>
      <c r="CK310">
        <v>2</v>
      </c>
      <c r="CL310">
        <v>0</v>
      </c>
      <c r="CM310">
        <v>2</v>
      </c>
      <c r="CN310">
        <v>0</v>
      </c>
      <c r="CO310">
        <v>6</v>
      </c>
      <c r="CP310" t="s">
        <v>119</v>
      </c>
      <c r="CQ310">
        <v>232</v>
      </c>
      <c r="CR310">
        <v>2</v>
      </c>
      <c r="CW310">
        <v>6129412</v>
      </c>
      <c r="CY310">
        <v>1</v>
      </c>
      <c r="CZ310">
        <v>0</v>
      </c>
      <c r="DA310">
        <v>1</v>
      </c>
      <c r="DB310">
        <v>0</v>
      </c>
      <c r="DC310">
        <v>0</v>
      </c>
      <c r="DD310">
        <v>1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"12/16/2021 14:43:50.710"</f>
        <v>12/16/2021 14:43:50.710</v>
      </c>
      <c r="C311" t="str">
        <f t="shared" si="13"/>
        <v>FFDFD3C0</v>
      </c>
      <c r="D311" t="s">
        <v>113</v>
      </c>
      <c r="E311">
        <v>8</v>
      </c>
      <c r="H311">
        <v>176</v>
      </c>
      <c r="I311" t="s">
        <v>114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"14:43:50.422"</f>
        <v>14:43:50.422</v>
      </c>
      <c r="T311" t="str">
        <f>"14:43:49.422"</f>
        <v>14:43:49.422</v>
      </c>
      <c r="U311" t="str">
        <f t="shared" si="12"/>
        <v>A0F928</v>
      </c>
      <c r="V311">
        <v>0</v>
      </c>
      <c r="W311">
        <v>0</v>
      </c>
      <c r="X311">
        <v>2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1</v>
      </c>
      <c r="AI311" t="s">
        <v>277</v>
      </c>
      <c r="AJ311">
        <v>35.785989999999998</v>
      </c>
      <c r="AK311" t="s">
        <v>278</v>
      </c>
      <c r="AL311">
        <v>-83.979320999999999</v>
      </c>
      <c r="AM311">
        <v>25</v>
      </c>
      <c r="AN311">
        <v>1650</v>
      </c>
      <c r="AO311" t="s">
        <v>118</v>
      </c>
      <c r="AP311">
        <v>90</v>
      </c>
      <c r="AQ311">
        <v>111</v>
      </c>
      <c r="AR311">
        <v>-64</v>
      </c>
      <c r="AZ311">
        <v>300</v>
      </c>
      <c r="BA311">
        <v>1</v>
      </c>
      <c r="BB311" t="str">
        <f t="shared" si="14"/>
        <v xml:space="preserve">N162AM  </v>
      </c>
      <c r="BC311">
        <v>1</v>
      </c>
      <c r="BE311">
        <v>0</v>
      </c>
      <c r="BF311">
        <v>0</v>
      </c>
      <c r="BG311">
        <v>0</v>
      </c>
      <c r="BH311">
        <v>1900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>"14:43:50.429"</f>
        <v>14:43:50.429</v>
      </c>
      <c r="CJ311">
        <v>3</v>
      </c>
      <c r="CK311">
        <v>2</v>
      </c>
      <c r="CL311">
        <v>0</v>
      </c>
      <c r="CM311">
        <v>2</v>
      </c>
      <c r="CN311">
        <v>0</v>
      </c>
      <c r="CO311">
        <v>6</v>
      </c>
      <c r="CP311" t="s">
        <v>119</v>
      </c>
      <c r="CQ311">
        <v>232</v>
      </c>
      <c r="CR311">
        <v>2</v>
      </c>
      <c r="CW311">
        <v>6129412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1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"12/16/2021 14:43:51.898"</f>
        <v>12/16/2021 14:43:51.898</v>
      </c>
      <c r="C312" t="str">
        <f t="shared" si="13"/>
        <v>FFDFD3C0</v>
      </c>
      <c r="D312" t="s">
        <v>133</v>
      </c>
      <c r="E312">
        <v>44</v>
      </c>
      <c r="H312">
        <v>131</v>
      </c>
      <c r="I312" t="s">
        <v>134</v>
      </c>
      <c r="J312" t="s">
        <v>135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"14:43:51.703"</f>
        <v>14:43:51.703</v>
      </c>
      <c r="T312" t="str">
        <f>"14:43:51.303"</f>
        <v>14:43:51.303</v>
      </c>
      <c r="U312" t="str">
        <f t="shared" si="12"/>
        <v>A0F928</v>
      </c>
      <c r="V312">
        <v>0</v>
      </c>
      <c r="W312">
        <v>0</v>
      </c>
      <c r="X312">
        <v>2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1</v>
      </c>
      <c r="AI312" t="s">
        <v>279</v>
      </c>
      <c r="AJ312">
        <v>35.786655000000003</v>
      </c>
      <c r="AK312" t="s">
        <v>280</v>
      </c>
      <c r="AL312">
        <v>-83.978677000000005</v>
      </c>
      <c r="AM312">
        <v>25</v>
      </c>
      <c r="AN312">
        <v>1650</v>
      </c>
      <c r="AO312" t="s">
        <v>118</v>
      </c>
      <c r="AP312">
        <v>90</v>
      </c>
      <c r="AQ312">
        <v>111</v>
      </c>
      <c r="AR312">
        <v>0</v>
      </c>
      <c r="AZ312">
        <v>300</v>
      </c>
      <c r="BA312">
        <v>1</v>
      </c>
      <c r="BB312" t="str">
        <f t="shared" si="14"/>
        <v xml:space="preserve">N162AM  </v>
      </c>
      <c r="BC312">
        <v>1</v>
      </c>
      <c r="BE312">
        <v>0</v>
      </c>
      <c r="BF312">
        <v>0</v>
      </c>
      <c r="BG312">
        <v>0</v>
      </c>
      <c r="BH312">
        <v>1925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>"14:43:51.707"</f>
        <v>14:43:51.707</v>
      </c>
      <c r="CJ312">
        <v>3</v>
      </c>
      <c r="CK312">
        <v>2</v>
      </c>
      <c r="CL312">
        <v>0</v>
      </c>
      <c r="CM312">
        <v>2</v>
      </c>
      <c r="CN312">
        <v>0</v>
      </c>
      <c r="CO312">
        <v>6</v>
      </c>
      <c r="CP312" t="s">
        <v>119</v>
      </c>
      <c r="CQ312">
        <v>232</v>
      </c>
      <c r="CR312">
        <v>1</v>
      </c>
      <c r="CW312">
        <v>14933844</v>
      </c>
      <c r="CY312">
        <v>1</v>
      </c>
      <c r="CZ312">
        <v>0</v>
      </c>
      <c r="DA312">
        <v>0</v>
      </c>
      <c r="DB312">
        <v>0</v>
      </c>
      <c r="DC312">
        <v>0</v>
      </c>
      <c r="DD312">
        <v>1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"12/16/2021 14:43:51.898"</f>
        <v>12/16/2021 14:43:51.898</v>
      </c>
      <c r="C313" t="str">
        <f t="shared" si="13"/>
        <v>FFDFD3C0</v>
      </c>
      <c r="D313" t="s">
        <v>124</v>
      </c>
      <c r="E313">
        <v>5</v>
      </c>
      <c r="F313">
        <v>1005</v>
      </c>
      <c r="G313" t="s">
        <v>114</v>
      </c>
      <c r="J313" t="s">
        <v>125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"14:43:51.703"</f>
        <v>14:43:51.703</v>
      </c>
      <c r="T313" t="str">
        <f>"14:43:51.303"</f>
        <v>14:43:51.303</v>
      </c>
      <c r="U313" t="str">
        <f t="shared" si="12"/>
        <v>A0F928</v>
      </c>
      <c r="V313">
        <v>0</v>
      </c>
      <c r="W313">
        <v>0</v>
      </c>
      <c r="X313">
        <v>2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1</v>
      </c>
      <c r="AI313" t="s">
        <v>279</v>
      </c>
      <c r="AJ313">
        <v>35.786655000000003</v>
      </c>
      <c r="AK313" t="s">
        <v>280</v>
      </c>
      <c r="AL313">
        <v>-83.978677000000005</v>
      </c>
      <c r="AM313">
        <v>25</v>
      </c>
      <c r="AN313">
        <v>1650</v>
      </c>
      <c r="AO313" t="s">
        <v>118</v>
      </c>
      <c r="AP313">
        <v>90</v>
      </c>
      <c r="AQ313">
        <v>111</v>
      </c>
      <c r="AR313">
        <v>0</v>
      </c>
      <c r="AZ313">
        <v>300</v>
      </c>
      <c r="BA313">
        <v>1</v>
      </c>
      <c r="BB313" t="str">
        <f t="shared" si="14"/>
        <v xml:space="preserve">N162AM  </v>
      </c>
      <c r="BC313">
        <v>1</v>
      </c>
      <c r="BE313">
        <v>0</v>
      </c>
      <c r="BF313">
        <v>0</v>
      </c>
      <c r="BG313">
        <v>0</v>
      </c>
      <c r="BH313">
        <v>1925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>"14:43:51.707"</f>
        <v>14:43:51.707</v>
      </c>
      <c r="CJ313">
        <v>3</v>
      </c>
      <c r="CK313">
        <v>2</v>
      </c>
      <c r="CL313">
        <v>0</v>
      </c>
      <c r="CM313">
        <v>2</v>
      </c>
      <c r="CN313">
        <v>0</v>
      </c>
      <c r="CO313">
        <v>6</v>
      </c>
      <c r="CP313" t="s">
        <v>119</v>
      </c>
      <c r="CQ313">
        <v>232</v>
      </c>
      <c r="CR313">
        <v>1</v>
      </c>
      <c r="CW313">
        <v>14933844</v>
      </c>
      <c r="CY313">
        <v>1</v>
      </c>
      <c r="CZ313">
        <v>0</v>
      </c>
      <c r="DA313">
        <v>1</v>
      </c>
      <c r="DB313">
        <v>0</v>
      </c>
      <c r="DC313">
        <v>0</v>
      </c>
      <c r="DD313">
        <v>1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"12/16/2021 14:43:51.929"</f>
        <v>12/16/2021 14:43:51.929</v>
      </c>
      <c r="C314" t="str">
        <f t="shared" si="13"/>
        <v>FFDFD3C0</v>
      </c>
      <c r="D314" t="s">
        <v>113</v>
      </c>
      <c r="E314">
        <v>8</v>
      </c>
      <c r="H314">
        <v>176</v>
      </c>
      <c r="I314" t="s">
        <v>114</v>
      </c>
      <c r="J314" t="s">
        <v>115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"14:43:51.703"</f>
        <v>14:43:51.703</v>
      </c>
      <c r="T314" t="str">
        <f>"14:43:51.303"</f>
        <v>14:43:51.303</v>
      </c>
      <c r="U314" t="str">
        <f t="shared" si="12"/>
        <v>A0F928</v>
      </c>
      <c r="V314">
        <v>0</v>
      </c>
      <c r="W314">
        <v>0</v>
      </c>
      <c r="X314">
        <v>2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1</v>
      </c>
      <c r="AI314" t="s">
        <v>279</v>
      </c>
      <c r="AJ314">
        <v>35.786655000000003</v>
      </c>
      <c r="AK314" t="s">
        <v>280</v>
      </c>
      <c r="AL314">
        <v>-83.978677000000005</v>
      </c>
      <c r="AM314">
        <v>25</v>
      </c>
      <c r="AN314">
        <v>1650</v>
      </c>
      <c r="AO314" t="s">
        <v>118</v>
      </c>
      <c r="AP314">
        <v>90</v>
      </c>
      <c r="AQ314">
        <v>111</v>
      </c>
      <c r="AR314">
        <v>0</v>
      </c>
      <c r="AZ314">
        <v>300</v>
      </c>
      <c r="BA314">
        <v>1</v>
      </c>
      <c r="BB314" t="str">
        <f t="shared" si="14"/>
        <v xml:space="preserve">N162AM  </v>
      </c>
      <c r="BC314">
        <v>1</v>
      </c>
      <c r="BE314">
        <v>0</v>
      </c>
      <c r="BF314">
        <v>0</v>
      </c>
      <c r="BG314">
        <v>0</v>
      </c>
      <c r="BH314">
        <v>1925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>"14:43:51.707"</f>
        <v>14:43:51.707</v>
      </c>
      <c r="CJ314">
        <v>3</v>
      </c>
      <c r="CK314">
        <v>2</v>
      </c>
      <c r="CL314">
        <v>0</v>
      </c>
      <c r="CM314">
        <v>2</v>
      </c>
      <c r="CN314">
        <v>0</v>
      </c>
      <c r="CO314">
        <v>6</v>
      </c>
      <c r="CP314" t="s">
        <v>119</v>
      </c>
      <c r="CQ314">
        <v>232</v>
      </c>
      <c r="CR314">
        <v>1</v>
      </c>
      <c r="CW314">
        <v>14933844</v>
      </c>
      <c r="CY314">
        <v>1</v>
      </c>
      <c r="CZ314">
        <v>0</v>
      </c>
      <c r="DA314">
        <v>1</v>
      </c>
      <c r="DB314">
        <v>0</v>
      </c>
      <c r="DC314">
        <v>0</v>
      </c>
      <c r="DD314">
        <v>1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"12/16/2021 14:43:51.929"</f>
        <v>12/16/2021 14:43:51.929</v>
      </c>
      <c r="C315" t="str">
        <f t="shared" si="13"/>
        <v>FFDFD3C0</v>
      </c>
      <c r="D315" t="s">
        <v>124</v>
      </c>
      <c r="E315">
        <v>10</v>
      </c>
      <c r="F315">
        <v>1010</v>
      </c>
      <c r="G315" t="s">
        <v>130</v>
      </c>
      <c r="J315" t="s">
        <v>125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"14:43:51.703"</f>
        <v>14:43:51.703</v>
      </c>
      <c r="T315" t="str">
        <f>"14:43:51.303"</f>
        <v>14:43:51.303</v>
      </c>
      <c r="U315" t="str">
        <f t="shared" si="12"/>
        <v>A0F928</v>
      </c>
      <c r="V315">
        <v>0</v>
      </c>
      <c r="W315">
        <v>0</v>
      </c>
      <c r="X315">
        <v>2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1</v>
      </c>
      <c r="AI315" t="s">
        <v>279</v>
      </c>
      <c r="AJ315">
        <v>35.786655000000003</v>
      </c>
      <c r="AK315" t="s">
        <v>280</v>
      </c>
      <c r="AL315">
        <v>-83.978677000000005</v>
      </c>
      <c r="AM315">
        <v>25</v>
      </c>
      <c r="AN315">
        <v>1650</v>
      </c>
      <c r="AO315" t="s">
        <v>118</v>
      </c>
      <c r="AP315">
        <v>90</v>
      </c>
      <c r="AQ315">
        <v>111</v>
      </c>
      <c r="AR315">
        <v>0</v>
      </c>
      <c r="AZ315">
        <v>300</v>
      </c>
      <c r="BA315">
        <v>1</v>
      </c>
      <c r="BB315" t="str">
        <f t="shared" si="14"/>
        <v xml:space="preserve">N162AM  </v>
      </c>
      <c r="BC315">
        <v>1</v>
      </c>
      <c r="BE315">
        <v>0</v>
      </c>
      <c r="BF315">
        <v>0</v>
      </c>
      <c r="BG315">
        <v>0</v>
      </c>
      <c r="BH315">
        <v>1925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>"14:43:51.707"</f>
        <v>14:43:51.707</v>
      </c>
      <c r="CJ315">
        <v>3</v>
      </c>
      <c r="CK315">
        <v>2</v>
      </c>
      <c r="CL315">
        <v>0</v>
      </c>
      <c r="CM315">
        <v>2</v>
      </c>
      <c r="CN315">
        <v>0</v>
      </c>
      <c r="CO315">
        <v>6</v>
      </c>
      <c r="CP315" t="s">
        <v>119</v>
      </c>
      <c r="CQ315">
        <v>232</v>
      </c>
      <c r="CR315">
        <v>1</v>
      </c>
      <c r="CW315">
        <v>14933844</v>
      </c>
      <c r="CY315">
        <v>1</v>
      </c>
      <c r="CZ315">
        <v>0</v>
      </c>
      <c r="DA315">
        <v>1</v>
      </c>
      <c r="DB315">
        <v>0</v>
      </c>
      <c r="DC315">
        <v>0</v>
      </c>
      <c r="DD315">
        <v>1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"12/16/2021 14:43:52.992"</f>
        <v>12/16/2021 14:43:52.992</v>
      </c>
      <c r="C316" t="str">
        <f t="shared" si="13"/>
        <v>FFDFD3C0</v>
      </c>
      <c r="D316" t="s">
        <v>124</v>
      </c>
      <c r="E316">
        <v>10</v>
      </c>
      <c r="F316">
        <v>1010</v>
      </c>
      <c r="G316" t="s">
        <v>130</v>
      </c>
      <c r="J316" t="s">
        <v>125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"14:43:52.773"</f>
        <v>14:43:52.773</v>
      </c>
      <c r="T316" t="str">
        <f>"14:43:52.273"</f>
        <v>14:43:52.273</v>
      </c>
      <c r="U316" t="str">
        <f t="shared" si="12"/>
        <v>A0F928</v>
      </c>
      <c r="V316">
        <v>0</v>
      </c>
      <c r="W316">
        <v>0</v>
      </c>
      <c r="X316">
        <v>2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1</v>
      </c>
      <c r="AI316" t="s">
        <v>281</v>
      </c>
      <c r="AJ316">
        <v>35.787191</v>
      </c>
      <c r="AK316" t="s">
        <v>282</v>
      </c>
      <c r="AL316">
        <v>-83.978119000000007</v>
      </c>
      <c r="AM316">
        <v>25</v>
      </c>
      <c r="AN316">
        <v>1650</v>
      </c>
      <c r="AO316" t="s">
        <v>118</v>
      </c>
      <c r="AP316">
        <v>90</v>
      </c>
      <c r="AQ316">
        <v>111</v>
      </c>
      <c r="AR316">
        <v>128</v>
      </c>
      <c r="AZ316">
        <v>300</v>
      </c>
      <c r="BA316">
        <v>1</v>
      </c>
      <c r="BB316" t="str">
        <f t="shared" si="14"/>
        <v xml:space="preserve">N162AM  </v>
      </c>
      <c r="BC316">
        <v>1</v>
      </c>
      <c r="BE316">
        <v>0</v>
      </c>
      <c r="BF316">
        <v>0</v>
      </c>
      <c r="BG316">
        <v>0</v>
      </c>
      <c r="BH316">
        <v>1900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>"14:43:52.774"</f>
        <v>14:43:52.774</v>
      </c>
      <c r="CJ316">
        <v>3</v>
      </c>
      <c r="CK316">
        <v>2</v>
      </c>
      <c r="CL316">
        <v>0</v>
      </c>
      <c r="CM316">
        <v>2</v>
      </c>
      <c r="CN316">
        <v>0</v>
      </c>
      <c r="CO316">
        <v>6</v>
      </c>
      <c r="CP316" t="s">
        <v>119</v>
      </c>
      <c r="CQ316">
        <v>232</v>
      </c>
      <c r="CR316">
        <v>1</v>
      </c>
      <c r="CW316">
        <v>14935527</v>
      </c>
      <c r="CY316">
        <v>1</v>
      </c>
      <c r="CZ316">
        <v>0</v>
      </c>
      <c r="DA316">
        <v>0</v>
      </c>
      <c r="DB316">
        <v>0</v>
      </c>
      <c r="DC316">
        <v>0</v>
      </c>
      <c r="DD316">
        <v>1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"12/16/2021 14:43:53.023"</f>
        <v>12/16/2021 14:43:53.023</v>
      </c>
      <c r="C317" t="str">
        <f t="shared" si="13"/>
        <v>FFDFD3C0</v>
      </c>
      <c r="D317" t="s">
        <v>124</v>
      </c>
      <c r="E317">
        <v>5</v>
      </c>
      <c r="F317">
        <v>1005</v>
      </c>
      <c r="G317" t="s">
        <v>114</v>
      </c>
      <c r="J317" t="s">
        <v>125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"14:43:52.773"</f>
        <v>14:43:52.773</v>
      </c>
      <c r="T317" t="str">
        <f>"14:43:52.273"</f>
        <v>14:43:52.273</v>
      </c>
      <c r="U317" t="str">
        <f t="shared" si="12"/>
        <v>A0F928</v>
      </c>
      <c r="V317">
        <v>0</v>
      </c>
      <c r="W317">
        <v>0</v>
      </c>
      <c r="X317">
        <v>2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1</v>
      </c>
      <c r="AI317" t="s">
        <v>281</v>
      </c>
      <c r="AJ317">
        <v>35.787191</v>
      </c>
      <c r="AK317" t="s">
        <v>282</v>
      </c>
      <c r="AL317">
        <v>-83.978119000000007</v>
      </c>
      <c r="AM317">
        <v>25</v>
      </c>
      <c r="AN317">
        <v>1650</v>
      </c>
      <c r="AO317" t="s">
        <v>118</v>
      </c>
      <c r="AP317">
        <v>90</v>
      </c>
      <c r="AQ317">
        <v>111</v>
      </c>
      <c r="AR317">
        <v>128</v>
      </c>
      <c r="AZ317">
        <v>300</v>
      </c>
      <c r="BA317">
        <v>1</v>
      </c>
      <c r="BB317" t="str">
        <f t="shared" si="14"/>
        <v xml:space="preserve">N162AM  </v>
      </c>
      <c r="BC317">
        <v>1</v>
      </c>
      <c r="BE317">
        <v>0</v>
      </c>
      <c r="BF317">
        <v>0</v>
      </c>
      <c r="BG317">
        <v>0</v>
      </c>
      <c r="BH317">
        <v>1900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>"14:43:52.774"</f>
        <v>14:43:52.774</v>
      </c>
      <c r="CJ317">
        <v>3</v>
      </c>
      <c r="CK317">
        <v>2</v>
      </c>
      <c r="CL317">
        <v>0</v>
      </c>
      <c r="CM317">
        <v>2</v>
      </c>
      <c r="CN317">
        <v>0</v>
      </c>
      <c r="CO317">
        <v>6</v>
      </c>
      <c r="CP317" t="s">
        <v>119</v>
      </c>
      <c r="CQ317">
        <v>232</v>
      </c>
      <c r="CR317">
        <v>1</v>
      </c>
      <c r="CW317">
        <v>14935527</v>
      </c>
      <c r="CY317">
        <v>1</v>
      </c>
      <c r="CZ317">
        <v>0</v>
      </c>
      <c r="DA317">
        <v>1</v>
      </c>
      <c r="DB317">
        <v>0</v>
      </c>
      <c r="DC317">
        <v>0</v>
      </c>
      <c r="DD317">
        <v>1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"12/16/2021 14:43:53.023"</f>
        <v>12/16/2021 14:43:53.023</v>
      </c>
      <c r="C318" t="str">
        <f t="shared" si="13"/>
        <v>FFDFD3C0</v>
      </c>
      <c r="D318" t="s">
        <v>133</v>
      </c>
      <c r="E318">
        <v>44</v>
      </c>
      <c r="H318">
        <v>131</v>
      </c>
      <c r="I318" t="s">
        <v>134</v>
      </c>
      <c r="J318" t="s">
        <v>135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"14:43:52.773"</f>
        <v>14:43:52.773</v>
      </c>
      <c r="T318" t="str">
        <f>"14:43:52.273"</f>
        <v>14:43:52.273</v>
      </c>
      <c r="U318" t="str">
        <f t="shared" si="12"/>
        <v>A0F928</v>
      </c>
      <c r="V318">
        <v>0</v>
      </c>
      <c r="W318">
        <v>0</v>
      </c>
      <c r="X318">
        <v>2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1</v>
      </c>
      <c r="AI318" t="s">
        <v>281</v>
      </c>
      <c r="AJ318">
        <v>35.787191</v>
      </c>
      <c r="AK318" t="s">
        <v>282</v>
      </c>
      <c r="AL318">
        <v>-83.978119000000007</v>
      </c>
      <c r="AM318">
        <v>25</v>
      </c>
      <c r="AN318">
        <v>1650</v>
      </c>
      <c r="AO318" t="s">
        <v>118</v>
      </c>
      <c r="AP318">
        <v>90</v>
      </c>
      <c r="AQ318">
        <v>111</v>
      </c>
      <c r="AR318">
        <v>128</v>
      </c>
      <c r="AZ318">
        <v>300</v>
      </c>
      <c r="BA318">
        <v>1</v>
      </c>
      <c r="BB318" t="str">
        <f t="shared" si="14"/>
        <v xml:space="preserve">N162AM  </v>
      </c>
      <c r="BC318">
        <v>1</v>
      </c>
      <c r="BE318">
        <v>0</v>
      </c>
      <c r="BF318">
        <v>0</v>
      </c>
      <c r="BG318">
        <v>0</v>
      </c>
      <c r="BH318">
        <v>1900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>"14:43:52.774"</f>
        <v>14:43:52.774</v>
      </c>
      <c r="CJ318">
        <v>3</v>
      </c>
      <c r="CK318">
        <v>2</v>
      </c>
      <c r="CL318">
        <v>0</v>
      </c>
      <c r="CM318">
        <v>2</v>
      </c>
      <c r="CN318">
        <v>0</v>
      </c>
      <c r="CO318">
        <v>6</v>
      </c>
      <c r="CP318" t="s">
        <v>119</v>
      </c>
      <c r="CQ318">
        <v>232</v>
      </c>
      <c r="CR318">
        <v>1</v>
      </c>
      <c r="CW318">
        <v>14935527</v>
      </c>
      <c r="CY318">
        <v>1</v>
      </c>
      <c r="CZ318">
        <v>0</v>
      </c>
      <c r="DA318">
        <v>1</v>
      </c>
      <c r="DB318">
        <v>0</v>
      </c>
      <c r="DC318">
        <v>0</v>
      </c>
      <c r="DD318">
        <v>1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"12/16/2021 14:43:53.038"</f>
        <v>12/16/2021 14:43:53.038</v>
      </c>
      <c r="C319" t="str">
        <f t="shared" si="13"/>
        <v>FFDFD3C0</v>
      </c>
      <c r="D319" t="s">
        <v>113</v>
      </c>
      <c r="E319">
        <v>8</v>
      </c>
      <c r="H319">
        <v>176</v>
      </c>
      <c r="I319" t="s">
        <v>114</v>
      </c>
      <c r="J319" t="s">
        <v>115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"14:43:52.773"</f>
        <v>14:43:52.773</v>
      </c>
      <c r="T319" t="str">
        <f>"14:43:52.273"</f>
        <v>14:43:52.273</v>
      </c>
      <c r="U319" t="str">
        <f t="shared" si="12"/>
        <v>A0F928</v>
      </c>
      <c r="V319">
        <v>0</v>
      </c>
      <c r="W319">
        <v>0</v>
      </c>
      <c r="X319">
        <v>2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1</v>
      </c>
      <c r="AI319" t="s">
        <v>281</v>
      </c>
      <c r="AJ319">
        <v>35.787191</v>
      </c>
      <c r="AK319" t="s">
        <v>282</v>
      </c>
      <c r="AL319">
        <v>-83.978119000000007</v>
      </c>
      <c r="AM319">
        <v>25</v>
      </c>
      <c r="AN319">
        <v>1650</v>
      </c>
      <c r="AO319" t="s">
        <v>118</v>
      </c>
      <c r="AP319">
        <v>90</v>
      </c>
      <c r="AQ319">
        <v>111</v>
      </c>
      <c r="AR319">
        <v>128</v>
      </c>
      <c r="AZ319">
        <v>300</v>
      </c>
      <c r="BA319">
        <v>1</v>
      </c>
      <c r="BB319" t="str">
        <f t="shared" si="14"/>
        <v xml:space="preserve">N162AM  </v>
      </c>
      <c r="BC319">
        <v>1</v>
      </c>
      <c r="BE319">
        <v>0</v>
      </c>
      <c r="BF319">
        <v>0</v>
      </c>
      <c r="BG319">
        <v>0</v>
      </c>
      <c r="BH319">
        <v>1900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>"14:43:52.774"</f>
        <v>14:43:52.774</v>
      </c>
      <c r="CJ319">
        <v>3</v>
      </c>
      <c r="CK319">
        <v>2</v>
      </c>
      <c r="CL319">
        <v>0</v>
      </c>
      <c r="CM319">
        <v>2</v>
      </c>
      <c r="CN319">
        <v>0</v>
      </c>
      <c r="CO319">
        <v>6</v>
      </c>
      <c r="CP319" t="s">
        <v>119</v>
      </c>
      <c r="CQ319">
        <v>232</v>
      </c>
      <c r="CR319">
        <v>1</v>
      </c>
      <c r="CW319">
        <v>14935527</v>
      </c>
      <c r="CY319">
        <v>1</v>
      </c>
      <c r="CZ319">
        <v>0</v>
      </c>
      <c r="DA319">
        <v>1</v>
      </c>
      <c r="DB319">
        <v>0</v>
      </c>
      <c r="DC319">
        <v>0</v>
      </c>
      <c r="DD319">
        <v>1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"12/16/2021 14:43:53.960"</f>
        <v>12/16/2021 14:43:53.960</v>
      </c>
      <c r="C320" t="str">
        <f t="shared" si="13"/>
        <v>FFDFD3C0</v>
      </c>
      <c r="D320" t="s">
        <v>124</v>
      </c>
      <c r="E320">
        <v>10</v>
      </c>
      <c r="F320">
        <v>1010</v>
      </c>
      <c r="G320" t="s">
        <v>130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"14:43:53.750"</f>
        <v>14:43:53.750</v>
      </c>
      <c r="T320" t="str">
        <f>"14:43:53.350"</f>
        <v>14:43:53.350</v>
      </c>
      <c r="U320" t="str">
        <f t="shared" si="12"/>
        <v>A0F928</v>
      </c>
      <c r="V320">
        <v>0</v>
      </c>
      <c r="W320">
        <v>0</v>
      </c>
      <c r="X320">
        <v>2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1</v>
      </c>
      <c r="AI320" t="s">
        <v>283</v>
      </c>
      <c r="AJ320">
        <v>35.787728000000001</v>
      </c>
      <c r="AK320" t="s">
        <v>284</v>
      </c>
      <c r="AL320">
        <v>-83.977603999999999</v>
      </c>
      <c r="AM320">
        <v>25</v>
      </c>
      <c r="AN320">
        <v>1650</v>
      </c>
      <c r="AO320" t="s">
        <v>118</v>
      </c>
      <c r="AP320">
        <v>90</v>
      </c>
      <c r="AQ320">
        <v>110</v>
      </c>
      <c r="AR320">
        <v>128</v>
      </c>
      <c r="AZ320">
        <v>300</v>
      </c>
      <c r="BA320">
        <v>1</v>
      </c>
      <c r="BB320" t="str">
        <f t="shared" si="14"/>
        <v xml:space="preserve">N162AM  </v>
      </c>
      <c r="BC320">
        <v>1</v>
      </c>
      <c r="BE320">
        <v>0</v>
      </c>
      <c r="BF320">
        <v>0</v>
      </c>
      <c r="BG320">
        <v>0</v>
      </c>
      <c r="BH320">
        <v>1925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>"14:43:53.753"</f>
        <v>14:43:53.753</v>
      </c>
      <c r="CJ320">
        <v>3</v>
      </c>
      <c r="CK320">
        <v>2</v>
      </c>
      <c r="CL320">
        <v>0</v>
      </c>
      <c r="CM320">
        <v>2</v>
      </c>
      <c r="CN320">
        <v>0</v>
      </c>
      <c r="CO320">
        <v>6</v>
      </c>
      <c r="CP320" t="s">
        <v>119</v>
      </c>
      <c r="CQ320">
        <v>232</v>
      </c>
      <c r="CR320">
        <v>1</v>
      </c>
      <c r="CW320">
        <v>14937113</v>
      </c>
      <c r="CY320">
        <v>1</v>
      </c>
      <c r="CZ320">
        <v>0</v>
      </c>
      <c r="DA320">
        <v>0</v>
      </c>
      <c r="DB320">
        <v>0</v>
      </c>
      <c r="DC320">
        <v>0</v>
      </c>
      <c r="DD320">
        <v>1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"12/16/2021 14:43:53.960"</f>
        <v>12/16/2021 14:43:53.960</v>
      </c>
      <c r="C321" t="str">
        <f t="shared" si="13"/>
        <v>FFDFD3C0</v>
      </c>
      <c r="D321" t="s">
        <v>113</v>
      </c>
      <c r="E321">
        <v>8</v>
      </c>
      <c r="H321">
        <v>176</v>
      </c>
      <c r="I321" t="s">
        <v>114</v>
      </c>
      <c r="J321" t="s">
        <v>115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"14:43:53.750"</f>
        <v>14:43:53.750</v>
      </c>
      <c r="T321" t="str">
        <f>"14:43:53.350"</f>
        <v>14:43:53.350</v>
      </c>
      <c r="U321" t="str">
        <f t="shared" si="12"/>
        <v>A0F928</v>
      </c>
      <c r="V321">
        <v>0</v>
      </c>
      <c r="W321">
        <v>0</v>
      </c>
      <c r="X321">
        <v>2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1</v>
      </c>
      <c r="AI321" t="s">
        <v>283</v>
      </c>
      <c r="AJ321">
        <v>35.787728000000001</v>
      </c>
      <c r="AK321" t="s">
        <v>284</v>
      </c>
      <c r="AL321">
        <v>-83.977603999999999</v>
      </c>
      <c r="AM321">
        <v>25</v>
      </c>
      <c r="AN321">
        <v>1650</v>
      </c>
      <c r="AO321" t="s">
        <v>118</v>
      </c>
      <c r="AP321">
        <v>90</v>
      </c>
      <c r="AQ321">
        <v>110</v>
      </c>
      <c r="AR321">
        <v>128</v>
      </c>
      <c r="AZ321">
        <v>300</v>
      </c>
      <c r="BA321">
        <v>1</v>
      </c>
      <c r="BB321" t="str">
        <f t="shared" si="14"/>
        <v xml:space="preserve">N162AM  </v>
      </c>
      <c r="BC321">
        <v>1</v>
      </c>
      <c r="BE321">
        <v>0</v>
      </c>
      <c r="BF321">
        <v>0</v>
      </c>
      <c r="BG321">
        <v>0</v>
      </c>
      <c r="BH321">
        <v>1925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>"14:43:53.753"</f>
        <v>14:43:53.753</v>
      </c>
      <c r="CJ321">
        <v>3</v>
      </c>
      <c r="CK321">
        <v>2</v>
      </c>
      <c r="CL321">
        <v>0</v>
      </c>
      <c r="CM321">
        <v>2</v>
      </c>
      <c r="CN321">
        <v>0</v>
      </c>
      <c r="CO321">
        <v>6</v>
      </c>
      <c r="CP321" t="s">
        <v>119</v>
      </c>
      <c r="CQ321">
        <v>232</v>
      </c>
      <c r="CR321">
        <v>1</v>
      </c>
      <c r="CW321">
        <v>14937113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1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"12/16/2021 14:43:53.960"</f>
        <v>12/16/2021 14:43:53.960</v>
      </c>
      <c r="C322" t="str">
        <f t="shared" si="13"/>
        <v>FFDFD3C0</v>
      </c>
      <c r="D322" t="s">
        <v>124</v>
      </c>
      <c r="E322">
        <v>5</v>
      </c>
      <c r="F322">
        <v>1005</v>
      </c>
      <c r="G322" t="s">
        <v>114</v>
      </c>
      <c r="J322" t="s">
        <v>125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"14:43:53.750"</f>
        <v>14:43:53.750</v>
      </c>
      <c r="T322" t="str">
        <f>"14:43:53.350"</f>
        <v>14:43:53.350</v>
      </c>
      <c r="U322" t="str">
        <f t="shared" ref="U322:U385" si="15">"A0F928"</f>
        <v>A0F928</v>
      </c>
      <c r="V322">
        <v>0</v>
      </c>
      <c r="W322">
        <v>0</v>
      </c>
      <c r="X322">
        <v>2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1</v>
      </c>
      <c r="AI322" t="s">
        <v>283</v>
      </c>
      <c r="AJ322">
        <v>35.787728000000001</v>
      </c>
      <c r="AK322" t="s">
        <v>284</v>
      </c>
      <c r="AL322">
        <v>-83.977603999999999</v>
      </c>
      <c r="AM322">
        <v>25</v>
      </c>
      <c r="AN322">
        <v>1650</v>
      </c>
      <c r="AO322" t="s">
        <v>118</v>
      </c>
      <c r="AP322">
        <v>90</v>
      </c>
      <c r="AQ322">
        <v>110</v>
      </c>
      <c r="AR322">
        <v>128</v>
      </c>
      <c r="AZ322">
        <v>300</v>
      </c>
      <c r="BA322">
        <v>1</v>
      </c>
      <c r="BB322" t="str">
        <f t="shared" si="14"/>
        <v xml:space="preserve">N162AM  </v>
      </c>
      <c r="BC322">
        <v>1</v>
      </c>
      <c r="BE322">
        <v>0</v>
      </c>
      <c r="BF322">
        <v>0</v>
      </c>
      <c r="BG322">
        <v>0</v>
      </c>
      <c r="BH322">
        <v>1925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>"14:43:53.753"</f>
        <v>14:43:53.753</v>
      </c>
      <c r="CJ322">
        <v>3</v>
      </c>
      <c r="CK322">
        <v>2</v>
      </c>
      <c r="CL322">
        <v>0</v>
      </c>
      <c r="CM322">
        <v>2</v>
      </c>
      <c r="CN322">
        <v>0</v>
      </c>
      <c r="CO322">
        <v>6</v>
      </c>
      <c r="CP322" t="s">
        <v>119</v>
      </c>
      <c r="CQ322">
        <v>232</v>
      </c>
      <c r="CR322">
        <v>1</v>
      </c>
      <c r="CW322">
        <v>14937113</v>
      </c>
      <c r="CY322">
        <v>1</v>
      </c>
      <c r="CZ322">
        <v>0</v>
      </c>
      <c r="DA322">
        <v>1</v>
      </c>
      <c r="DB322">
        <v>0</v>
      </c>
      <c r="DC322">
        <v>0</v>
      </c>
      <c r="DD322">
        <v>1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"12/16/2021 14:43:54.007"</f>
        <v>12/16/2021 14:43:54.007</v>
      </c>
      <c r="C323" t="str">
        <f t="shared" si="13"/>
        <v>FFDFD3C0</v>
      </c>
      <c r="D323" t="s">
        <v>133</v>
      </c>
      <c r="E323">
        <v>44</v>
      </c>
      <c r="H323">
        <v>131</v>
      </c>
      <c r="I323" t="s">
        <v>134</v>
      </c>
      <c r="J323" t="s">
        <v>135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"14:43:53.750"</f>
        <v>14:43:53.750</v>
      </c>
      <c r="T323" t="str">
        <f>"14:43:53.350"</f>
        <v>14:43:53.350</v>
      </c>
      <c r="U323" t="str">
        <f t="shared" si="15"/>
        <v>A0F928</v>
      </c>
      <c r="V323">
        <v>0</v>
      </c>
      <c r="W323">
        <v>0</v>
      </c>
      <c r="X323">
        <v>2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1</v>
      </c>
      <c r="AI323" t="s">
        <v>283</v>
      </c>
      <c r="AJ323">
        <v>35.787728000000001</v>
      </c>
      <c r="AK323" t="s">
        <v>284</v>
      </c>
      <c r="AL323">
        <v>-83.977603999999999</v>
      </c>
      <c r="AM323">
        <v>25</v>
      </c>
      <c r="AN323">
        <v>1650</v>
      </c>
      <c r="AO323" t="s">
        <v>118</v>
      </c>
      <c r="AP323">
        <v>90</v>
      </c>
      <c r="AQ323">
        <v>110</v>
      </c>
      <c r="AR323">
        <v>128</v>
      </c>
      <c r="AZ323">
        <v>300</v>
      </c>
      <c r="BA323">
        <v>1</v>
      </c>
      <c r="BB323" t="str">
        <f t="shared" si="14"/>
        <v xml:space="preserve">N162AM  </v>
      </c>
      <c r="BC323">
        <v>1</v>
      </c>
      <c r="BE323">
        <v>0</v>
      </c>
      <c r="BF323">
        <v>0</v>
      </c>
      <c r="BG323">
        <v>0</v>
      </c>
      <c r="BH323">
        <v>1925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>"14:43:53.753"</f>
        <v>14:43:53.753</v>
      </c>
      <c r="CJ323">
        <v>3</v>
      </c>
      <c r="CK323">
        <v>2</v>
      </c>
      <c r="CL323">
        <v>0</v>
      </c>
      <c r="CM323">
        <v>2</v>
      </c>
      <c r="CN323">
        <v>0</v>
      </c>
      <c r="CO323">
        <v>6</v>
      </c>
      <c r="CP323" t="s">
        <v>119</v>
      </c>
      <c r="CQ323">
        <v>232</v>
      </c>
      <c r="CR323">
        <v>1</v>
      </c>
      <c r="CW323">
        <v>14937113</v>
      </c>
      <c r="CY323">
        <v>1</v>
      </c>
      <c r="CZ323">
        <v>0</v>
      </c>
      <c r="DA323">
        <v>1</v>
      </c>
      <c r="DB323">
        <v>0</v>
      </c>
      <c r="DC323">
        <v>0</v>
      </c>
      <c r="DD323">
        <v>1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"12/16/2021 14:43:54.880"</f>
        <v>12/16/2021 14:43:54.880</v>
      </c>
      <c r="C324" t="str">
        <f t="shared" si="13"/>
        <v>FFDFD3C0</v>
      </c>
      <c r="D324" t="s">
        <v>124</v>
      </c>
      <c r="E324">
        <v>5</v>
      </c>
      <c r="F324">
        <v>1005</v>
      </c>
      <c r="G324" t="s">
        <v>114</v>
      </c>
      <c r="J324" t="s">
        <v>125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"14:43:54.664"</f>
        <v>14:43:54.664</v>
      </c>
      <c r="T324" t="str">
        <f>"14:43:54.264"</f>
        <v>14:43:54.264</v>
      </c>
      <c r="U324" t="str">
        <f t="shared" si="15"/>
        <v>A0F928</v>
      </c>
      <c r="V324">
        <v>0</v>
      </c>
      <c r="W324">
        <v>0</v>
      </c>
      <c r="X324">
        <v>2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1</v>
      </c>
      <c r="AI324" t="s">
        <v>285</v>
      </c>
      <c r="AJ324">
        <v>35.788200000000003</v>
      </c>
      <c r="AK324" t="s">
        <v>286</v>
      </c>
      <c r="AL324">
        <v>-83.977153000000001</v>
      </c>
      <c r="AM324">
        <v>25</v>
      </c>
      <c r="AN324">
        <v>1650</v>
      </c>
      <c r="AO324" t="s">
        <v>118</v>
      </c>
      <c r="AP324">
        <v>90</v>
      </c>
      <c r="AQ324">
        <v>110</v>
      </c>
      <c r="AR324">
        <v>128</v>
      </c>
      <c r="AZ324">
        <v>300</v>
      </c>
      <c r="BA324">
        <v>1</v>
      </c>
      <c r="BB324" t="str">
        <f t="shared" si="14"/>
        <v xml:space="preserve">N162AM  </v>
      </c>
      <c r="BC324">
        <v>1</v>
      </c>
      <c r="BE324">
        <v>0</v>
      </c>
      <c r="BF324">
        <v>0</v>
      </c>
      <c r="BG324">
        <v>0</v>
      </c>
      <c r="BH324">
        <v>1925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>"14:43:54.666"</f>
        <v>14:43:54.666</v>
      </c>
      <c r="CJ324">
        <v>3</v>
      </c>
      <c r="CK324">
        <v>2</v>
      </c>
      <c r="CL324">
        <v>0</v>
      </c>
      <c r="CM324">
        <v>2</v>
      </c>
      <c r="CN324">
        <v>0</v>
      </c>
      <c r="CO324">
        <v>6</v>
      </c>
      <c r="CP324" t="s">
        <v>119</v>
      </c>
      <c r="CQ324">
        <v>232</v>
      </c>
      <c r="CR324">
        <v>2</v>
      </c>
      <c r="CW324">
        <v>6135701</v>
      </c>
      <c r="CY324">
        <v>1</v>
      </c>
      <c r="CZ324">
        <v>0</v>
      </c>
      <c r="DA324">
        <v>0</v>
      </c>
      <c r="DB324">
        <v>0</v>
      </c>
      <c r="DC324">
        <v>0</v>
      </c>
      <c r="DD324">
        <v>1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"12/16/2021 14:43:54.926"</f>
        <v>12/16/2021 14:43:54.926</v>
      </c>
      <c r="C325" t="str">
        <f t="shared" si="13"/>
        <v>FFDFD3C0</v>
      </c>
      <c r="D325" t="s">
        <v>133</v>
      </c>
      <c r="E325">
        <v>44</v>
      </c>
      <c r="H325">
        <v>131</v>
      </c>
      <c r="I325" t="s">
        <v>134</v>
      </c>
      <c r="J325" t="s">
        <v>135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"14:43:54.664"</f>
        <v>14:43:54.664</v>
      </c>
      <c r="T325" t="str">
        <f>"14:43:54.264"</f>
        <v>14:43:54.264</v>
      </c>
      <c r="U325" t="str">
        <f t="shared" si="15"/>
        <v>A0F928</v>
      </c>
      <c r="V325">
        <v>0</v>
      </c>
      <c r="W325">
        <v>0</v>
      </c>
      <c r="X325">
        <v>2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1</v>
      </c>
      <c r="AI325" t="s">
        <v>285</v>
      </c>
      <c r="AJ325">
        <v>35.788200000000003</v>
      </c>
      <c r="AK325" t="s">
        <v>286</v>
      </c>
      <c r="AL325">
        <v>-83.977153000000001</v>
      </c>
      <c r="AM325">
        <v>25</v>
      </c>
      <c r="AN325">
        <v>1650</v>
      </c>
      <c r="AO325" t="s">
        <v>118</v>
      </c>
      <c r="AP325">
        <v>90</v>
      </c>
      <c r="AQ325">
        <v>110</v>
      </c>
      <c r="AR325">
        <v>128</v>
      </c>
      <c r="AZ325">
        <v>300</v>
      </c>
      <c r="BA325">
        <v>1</v>
      </c>
      <c r="BB325" t="str">
        <f t="shared" si="14"/>
        <v xml:space="preserve">N162AM  </v>
      </c>
      <c r="BC325">
        <v>1</v>
      </c>
      <c r="BE325">
        <v>0</v>
      </c>
      <c r="BF325">
        <v>0</v>
      </c>
      <c r="BG325">
        <v>0</v>
      </c>
      <c r="BH325">
        <v>1925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>"14:43:54.666"</f>
        <v>14:43:54.666</v>
      </c>
      <c r="CJ325">
        <v>3</v>
      </c>
      <c r="CK325">
        <v>2</v>
      </c>
      <c r="CL325">
        <v>0</v>
      </c>
      <c r="CM325">
        <v>2</v>
      </c>
      <c r="CN325">
        <v>0</v>
      </c>
      <c r="CO325">
        <v>6</v>
      </c>
      <c r="CP325" t="s">
        <v>119</v>
      </c>
      <c r="CQ325">
        <v>232</v>
      </c>
      <c r="CR325">
        <v>2</v>
      </c>
      <c r="CW325">
        <v>6135701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1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"12/16/2021 14:43:54.942"</f>
        <v>12/16/2021 14:43:54.942</v>
      </c>
      <c r="C326" t="str">
        <f t="shared" si="13"/>
        <v>FFDFD3C0</v>
      </c>
      <c r="D326" t="s">
        <v>124</v>
      </c>
      <c r="E326">
        <v>10</v>
      </c>
      <c r="F326">
        <v>1010</v>
      </c>
      <c r="G326" t="s">
        <v>130</v>
      </c>
      <c r="J326" t="s">
        <v>125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"14:43:54.664"</f>
        <v>14:43:54.664</v>
      </c>
      <c r="T326" t="str">
        <f>"14:43:54.264"</f>
        <v>14:43:54.264</v>
      </c>
      <c r="U326" t="str">
        <f t="shared" si="15"/>
        <v>A0F928</v>
      </c>
      <c r="V326">
        <v>0</v>
      </c>
      <c r="W326">
        <v>0</v>
      </c>
      <c r="X326">
        <v>2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1</v>
      </c>
      <c r="AI326" t="s">
        <v>285</v>
      </c>
      <c r="AJ326">
        <v>35.788200000000003</v>
      </c>
      <c r="AK326" t="s">
        <v>286</v>
      </c>
      <c r="AL326">
        <v>-83.977153000000001</v>
      </c>
      <c r="AM326">
        <v>25</v>
      </c>
      <c r="AN326">
        <v>1650</v>
      </c>
      <c r="AO326" t="s">
        <v>118</v>
      </c>
      <c r="AP326">
        <v>90</v>
      </c>
      <c r="AQ326">
        <v>110</v>
      </c>
      <c r="AR326">
        <v>128</v>
      </c>
      <c r="AZ326">
        <v>300</v>
      </c>
      <c r="BA326">
        <v>1</v>
      </c>
      <c r="BB326" t="str">
        <f t="shared" si="14"/>
        <v xml:space="preserve">N162AM  </v>
      </c>
      <c r="BC326">
        <v>1</v>
      </c>
      <c r="BE326">
        <v>0</v>
      </c>
      <c r="BF326">
        <v>0</v>
      </c>
      <c r="BG326">
        <v>0</v>
      </c>
      <c r="BH326">
        <v>1925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>"14:43:54.666"</f>
        <v>14:43:54.666</v>
      </c>
      <c r="CJ326">
        <v>3</v>
      </c>
      <c r="CK326">
        <v>2</v>
      </c>
      <c r="CL326">
        <v>0</v>
      </c>
      <c r="CM326">
        <v>2</v>
      </c>
      <c r="CN326">
        <v>0</v>
      </c>
      <c r="CO326">
        <v>6</v>
      </c>
      <c r="CP326" t="s">
        <v>119</v>
      </c>
      <c r="CQ326">
        <v>232</v>
      </c>
      <c r="CR326">
        <v>2</v>
      </c>
      <c r="CW326">
        <v>6135701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1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"12/16/2021 14:43:54.942"</f>
        <v>12/16/2021 14:43:54.942</v>
      </c>
      <c r="C327" t="str">
        <f t="shared" si="13"/>
        <v>FFDFD3C0</v>
      </c>
      <c r="D327" t="s">
        <v>113</v>
      </c>
      <c r="E327">
        <v>8</v>
      </c>
      <c r="H327">
        <v>176</v>
      </c>
      <c r="I327" t="s">
        <v>114</v>
      </c>
      <c r="J327" t="s">
        <v>115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"14:43:54.664"</f>
        <v>14:43:54.664</v>
      </c>
      <c r="T327" t="str">
        <f>"14:43:54.264"</f>
        <v>14:43:54.264</v>
      </c>
      <c r="U327" t="str">
        <f t="shared" si="15"/>
        <v>A0F928</v>
      </c>
      <c r="V327">
        <v>0</v>
      </c>
      <c r="W327">
        <v>0</v>
      </c>
      <c r="X327">
        <v>2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1</v>
      </c>
      <c r="AI327" t="s">
        <v>285</v>
      </c>
      <c r="AJ327">
        <v>35.788200000000003</v>
      </c>
      <c r="AK327" t="s">
        <v>286</v>
      </c>
      <c r="AL327">
        <v>-83.977153000000001</v>
      </c>
      <c r="AM327">
        <v>25</v>
      </c>
      <c r="AN327">
        <v>1650</v>
      </c>
      <c r="AO327" t="s">
        <v>118</v>
      </c>
      <c r="AP327">
        <v>90</v>
      </c>
      <c r="AQ327">
        <v>110</v>
      </c>
      <c r="AR327">
        <v>128</v>
      </c>
      <c r="AZ327">
        <v>300</v>
      </c>
      <c r="BA327">
        <v>1</v>
      </c>
      <c r="BB327" t="str">
        <f t="shared" si="14"/>
        <v xml:space="preserve">N162AM  </v>
      </c>
      <c r="BC327">
        <v>1</v>
      </c>
      <c r="BE327">
        <v>0</v>
      </c>
      <c r="BF327">
        <v>0</v>
      </c>
      <c r="BG327">
        <v>0</v>
      </c>
      <c r="BH327">
        <v>1925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>"14:43:54.666"</f>
        <v>14:43:54.666</v>
      </c>
      <c r="CJ327">
        <v>3</v>
      </c>
      <c r="CK327">
        <v>2</v>
      </c>
      <c r="CL327">
        <v>0</v>
      </c>
      <c r="CM327">
        <v>2</v>
      </c>
      <c r="CN327">
        <v>0</v>
      </c>
      <c r="CO327">
        <v>6</v>
      </c>
      <c r="CP327" t="s">
        <v>119</v>
      </c>
      <c r="CQ327">
        <v>232</v>
      </c>
      <c r="CR327">
        <v>2</v>
      </c>
      <c r="CW327">
        <v>6135701</v>
      </c>
      <c r="CY327">
        <v>1</v>
      </c>
      <c r="CZ327">
        <v>0</v>
      </c>
      <c r="DA327">
        <v>1</v>
      </c>
      <c r="DB327">
        <v>0</v>
      </c>
      <c r="DC327">
        <v>0</v>
      </c>
      <c r="DD327">
        <v>1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"12/16/2021 14:43:55.779"</f>
        <v>12/16/2021 14:43:55.779</v>
      </c>
      <c r="C328" t="str">
        <f t="shared" si="13"/>
        <v>FFDFD3C0</v>
      </c>
      <c r="D328" t="s">
        <v>113</v>
      </c>
      <c r="E328">
        <v>8</v>
      </c>
      <c r="H328">
        <v>176</v>
      </c>
      <c r="I328" t="s">
        <v>114</v>
      </c>
      <c r="J328" t="s">
        <v>115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"14:43:55.563"</f>
        <v>14:43:55.563</v>
      </c>
      <c r="T328" t="str">
        <f>"14:43:55.163"</f>
        <v>14:43:55.163</v>
      </c>
      <c r="U328" t="str">
        <f t="shared" si="15"/>
        <v>A0F928</v>
      </c>
      <c r="V328">
        <v>0</v>
      </c>
      <c r="W328">
        <v>0</v>
      </c>
      <c r="X328">
        <v>2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1</v>
      </c>
      <c r="AI328" t="s">
        <v>287</v>
      </c>
      <c r="AJ328">
        <v>35.788651000000002</v>
      </c>
      <c r="AK328" t="s">
        <v>288</v>
      </c>
      <c r="AL328">
        <v>-83.976680999999999</v>
      </c>
      <c r="AM328">
        <v>25</v>
      </c>
      <c r="AN328">
        <v>1650</v>
      </c>
      <c r="AO328" t="s">
        <v>118</v>
      </c>
      <c r="AP328">
        <v>90</v>
      </c>
      <c r="AQ328">
        <v>110</v>
      </c>
      <c r="AR328">
        <v>128</v>
      </c>
      <c r="AZ328">
        <v>300</v>
      </c>
      <c r="BA328">
        <v>1</v>
      </c>
      <c r="BB328" t="str">
        <f t="shared" si="14"/>
        <v xml:space="preserve">N162AM  </v>
      </c>
      <c r="BC328">
        <v>1</v>
      </c>
      <c r="BE328">
        <v>0</v>
      </c>
      <c r="BF328">
        <v>0</v>
      </c>
      <c r="BG328">
        <v>0</v>
      </c>
      <c r="BH328">
        <v>1925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>"14:43:55.564"</f>
        <v>14:43:55.564</v>
      </c>
      <c r="CJ328">
        <v>3</v>
      </c>
      <c r="CK328">
        <v>2</v>
      </c>
      <c r="CL328">
        <v>0</v>
      </c>
      <c r="CM328">
        <v>2</v>
      </c>
      <c r="CN328">
        <v>0</v>
      </c>
      <c r="CO328">
        <v>6</v>
      </c>
      <c r="CP328" t="s">
        <v>119</v>
      </c>
      <c r="CQ328">
        <v>232</v>
      </c>
      <c r="CR328">
        <v>2</v>
      </c>
      <c r="CW328">
        <v>6137024</v>
      </c>
      <c r="CY328">
        <v>1</v>
      </c>
      <c r="CZ328">
        <v>0</v>
      </c>
      <c r="DA328">
        <v>0</v>
      </c>
      <c r="DB328">
        <v>0</v>
      </c>
      <c r="DC328">
        <v>0</v>
      </c>
      <c r="DD328">
        <v>1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"12/16/2021 14:43:55.779"</f>
        <v>12/16/2021 14:43:55.779</v>
      </c>
      <c r="C329" t="str">
        <f t="shared" si="13"/>
        <v>FFDFD3C0</v>
      </c>
      <c r="D329" t="s">
        <v>124</v>
      </c>
      <c r="E329">
        <v>5</v>
      </c>
      <c r="F329">
        <v>1005</v>
      </c>
      <c r="G329" t="s">
        <v>114</v>
      </c>
      <c r="J329" t="s">
        <v>125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"14:43:55.563"</f>
        <v>14:43:55.563</v>
      </c>
      <c r="T329" t="str">
        <f>"14:43:55.163"</f>
        <v>14:43:55.163</v>
      </c>
      <c r="U329" t="str">
        <f t="shared" si="15"/>
        <v>A0F928</v>
      </c>
      <c r="V329">
        <v>0</v>
      </c>
      <c r="W329">
        <v>0</v>
      </c>
      <c r="X329">
        <v>2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1</v>
      </c>
      <c r="AI329" t="s">
        <v>287</v>
      </c>
      <c r="AJ329">
        <v>35.788651000000002</v>
      </c>
      <c r="AK329" t="s">
        <v>288</v>
      </c>
      <c r="AL329">
        <v>-83.976680999999999</v>
      </c>
      <c r="AM329">
        <v>25</v>
      </c>
      <c r="AN329">
        <v>1650</v>
      </c>
      <c r="AO329" t="s">
        <v>118</v>
      </c>
      <c r="AP329">
        <v>90</v>
      </c>
      <c r="AQ329">
        <v>110</v>
      </c>
      <c r="AR329">
        <v>128</v>
      </c>
      <c r="AZ329">
        <v>300</v>
      </c>
      <c r="BA329">
        <v>1</v>
      </c>
      <c r="BB329" t="str">
        <f t="shared" si="14"/>
        <v xml:space="preserve">N162AM  </v>
      </c>
      <c r="BC329">
        <v>1</v>
      </c>
      <c r="BE329">
        <v>0</v>
      </c>
      <c r="BF329">
        <v>0</v>
      </c>
      <c r="BG329">
        <v>0</v>
      </c>
      <c r="BH329">
        <v>1925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>"14:43:55.564"</f>
        <v>14:43:55.564</v>
      </c>
      <c r="CJ329">
        <v>3</v>
      </c>
      <c r="CK329">
        <v>2</v>
      </c>
      <c r="CL329">
        <v>0</v>
      </c>
      <c r="CM329">
        <v>2</v>
      </c>
      <c r="CN329">
        <v>0</v>
      </c>
      <c r="CO329">
        <v>6</v>
      </c>
      <c r="CP329" t="s">
        <v>119</v>
      </c>
      <c r="CQ329">
        <v>232</v>
      </c>
      <c r="CR329">
        <v>2</v>
      </c>
      <c r="CW329">
        <v>6137024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1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"12/16/2021 14:43:55.841"</f>
        <v>12/16/2021 14:43:55.841</v>
      </c>
      <c r="C330" t="str">
        <f t="shared" si="13"/>
        <v>FFDFD3C0</v>
      </c>
      <c r="D330" t="s">
        <v>133</v>
      </c>
      <c r="E330">
        <v>44</v>
      </c>
      <c r="H330">
        <v>131</v>
      </c>
      <c r="I330" t="s">
        <v>134</v>
      </c>
      <c r="J330" t="s">
        <v>135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"14:43:55.563"</f>
        <v>14:43:55.563</v>
      </c>
      <c r="T330" t="str">
        <f>"14:43:55.163"</f>
        <v>14:43:55.163</v>
      </c>
      <c r="U330" t="str">
        <f t="shared" si="15"/>
        <v>A0F928</v>
      </c>
      <c r="V330">
        <v>0</v>
      </c>
      <c r="W330">
        <v>0</v>
      </c>
      <c r="X330">
        <v>2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1</v>
      </c>
      <c r="AI330" t="s">
        <v>287</v>
      </c>
      <c r="AJ330">
        <v>35.788651000000002</v>
      </c>
      <c r="AK330" t="s">
        <v>288</v>
      </c>
      <c r="AL330">
        <v>-83.976680999999999</v>
      </c>
      <c r="AM330">
        <v>25</v>
      </c>
      <c r="AN330">
        <v>1650</v>
      </c>
      <c r="AO330" t="s">
        <v>118</v>
      </c>
      <c r="AP330">
        <v>90</v>
      </c>
      <c r="AQ330">
        <v>110</v>
      </c>
      <c r="AR330">
        <v>128</v>
      </c>
      <c r="AZ330">
        <v>300</v>
      </c>
      <c r="BA330">
        <v>1</v>
      </c>
      <c r="BB330" t="str">
        <f t="shared" si="14"/>
        <v xml:space="preserve">N162AM  </v>
      </c>
      <c r="BC330">
        <v>1</v>
      </c>
      <c r="BE330">
        <v>0</v>
      </c>
      <c r="BF330">
        <v>0</v>
      </c>
      <c r="BG330">
        <v>0</v>
      </c>
      <c r="BH330">
        <v>1925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>"14:43:55.564"</f>
        <v>14:43:55.564</v>
      </c>
      <c r="CJ330">
        <v>3</v>
      </c>
      <c r="CK330">
        <v>2</v>
      </c>
      <c r="CL330">
        <v>0</v>
      </c>
      <c r="CM330">
        <v>2</v>
      </c>
      <c r="CN330">
        <v>0</v>
      </c>
      <c r="CO330">
        <v>6</v>
      </c>
      <c r="CP330" t="s">
        <v>119</v>
      </c>
      <c r="CQ330">
        <v>232</v>
      </c>
      <c r="CR330">
        <v>2</v>
      </c>
      <c r="CW330">
        <v>6137024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1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"12/16/2021 14:43:55.857"</f>
        <v>12/16/2021 14:43:55.857</v>
      </c>
      <c r="C331" t="str">
        <f t="shared" si="13"/>
        <v>FFDFD3C0</v>
      </c>
      <c r="D331" t="s">
        <v>124</v>
      </c>
      <c r="E331">
        <v>10</v>
      </c>
      <c r="F331">
        <v>1010</v>
      </c>
      <c r="G331" t="s">
        <v>130</v>
      </c>
      <c r="J331" t="s">
        <v>125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"14:43:55.563"</f>
        <v>14:43:55.563</v>
      </c>
      <c r="T331" t="str">
        <f>"14:43:55.163"</f>
        <v>14:43:55.163</v>
      </c>
      <c r="U331" t="str">
        <f t="shared" si="15"/>
        <v>A0F928</v>
      </c>
      <c r="V331">
        <v>0</v>
      </c>
      <c r="W331">
        <v>0</v>
      </c>
      <c r="X331">
        <v>2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1</v>
      </c>
      <c r="AI331" t="s">
        <v>287</v>
      </c>
      <c r="AJ331">
        <v>35.788651000000002</v>
      </c>
      <c r="AK331" t="s">
        <v>288</v>
      </c>
      <c r="AL331">
        <v>-83.976680999999999</v>
      </c>
      <c r="AM331">
        <v>25</v>
      </c>
      <c r="AN331">
        <v>1650</v>
      </c>
      <c r="AO331" t="s">
        <v>118</v>
      </c>
      <c r="AP331">
        <v>90</v>
      </c>
      <c r="AQ331">
        <v>110</v>
      </c>
      <c r="AR331">
        <v>128</v>
      </c>
      <c r="AZ331">
        <v>300</v>
      </c>
      <c r="BA331">
        <v>1</v>
      </c>
      <c r="BB331" t="str">
        <f t="shared" si="14"/>
        <v xml:space="preserve">N162AM  </v>
      </c>
      <c r="BC331">
        <v>1</v>
      </c>
      <c r="BE331">
        <v>0</v>
      </c>
      <c r="BF331">
        <v>0</v>
      </c>
      <c r="BG331">
        <v>0</v>
      </c>
      <c r="BH331">
        <v>1925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>"14:43:55.564"</f>
        <v>14:43:55.564</v>
      </c>
      <c r="CJ331">
        <v>3</v>
      </c>
      <c r="CK331">
        <v>2</v>
      </c>
      <c r="CL331">
        <v>0</v>
      </c>
      <c r="CM331">
        <v>2</v>
      </c>
      <c r="CN331">
        <v>0</v>
      </c>
      <c r="CO331">
        <v>6</v>
      </c>
      <c r="CP331" t="s">
        <v>119</v>
      </c>
      <c r="CQ331">
        <v>232</v>
      </c>
      <c r="CR331">
        <v>2</v>
      </c>
      <c r="CW331">
        <v>6137024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1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"12/16/2021 14:43:56.732"</f>
        <v>12/16/2021 14:43:56.732</v>
      </c>
      <c r="C332" t="str">
        <f t="shared" ref="C332:C395" si="16">"FFDFD3C0"</f>
        <v>FFDFD3C0</v>
      </c>
      <c r="D332" t="s">
        <v>133</v>
      </c>
      <c r="E332">
        <v>44</v>
      </c>
      <c r="H332">
        <v>131</v>
      </c>
      <c r="I332" t="s">
        <v>134</v>
      </c>
      <c r="J332" t="s">
        <v>135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"14:43:56.492"</f>
        <v>14:43:56.492</v>
      </c>
      <c r="T332" t="str">
        <f>"14:43:56.092"</f>
        <v>14:43:56.092</v>
      </c>
      <c r="U332" t="str">
        <f t="shared" si="15"/>
        <v>A0F928</v>
      </c>
      <c r="V332">
        <v>0</v>
      </c>
      <c r="W332">
        <v>0</v>
      </c>
      <c r="X332">
        <v>2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1</v>
      </c>
      <c r="AI332" t="s">
        <v>289</v>
      </c>
      <c r="AJ332">
        <v>35.789079999999998</v>
      </c>
      <c r="AK332" t="s">
        <v>290</v>
      </c>
      <c r="AL332">
        <v>-83.976208999999997</v>
      </c>
      <c r="AM332">
        <v>25</v>
      </c>
      <c r="AN332">
        <v>1650</v>
      </c>
      <c r="AO332" t="s">
        <v>118</v>
      </c>
      <c r="AP332">
        <v>89</v>
      </c>
      <c r="AQ332">
        <v>109</v>
      </c>
      <c r="AR332">
        <v>192</v>
      </c>
      <c r="AZ332">
        <v>300</v>
      </c>
      <c r="BA332">
        <v>1</v>
      </c>
      <c r="BB332" t="str">
        <f t="shared" ref="BB332:BB395" si="17">"N162AM  "</f>
        <v xml:space="preserve">N162AM  </v>
      </c>
      <c r="BC332">
        <v>1</v>
      </c>
      <c r="BE332">
        <v>0</v>
      </c>
      <c r="BF332">
        <v>0</v>
      </c>
      <c r="BG332">
        <v>0</v>
      </c>
      <c r="BH332">
        <v>1925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>"14:43:56.498"</f>
        <v>14:43:56.498</v>
      </c>
      <c r="CJ332">
        <v>3</v>
      </c>
      <c r="CK332">
        <v>2</v>
      </c>
      <c r="CL332">
        <v>0</v>
      </c>
      <c r="CM332">
        <v>2</v>
      </c>
      <c r="CN332">
        <v>0</v>
      </c>
      <c r="CO332">
        <v>6</v>
      </c>
      <c r="CP332" t="s">
        <v>119</v>
      </c>
      <c r="CQ332">
        <v>232</v>
      </c>
      <c r="CR332">
        <v>2</v>
      </c>
      <c r="CW332">
        <v>6138378</v>
      </c>
      <c r="CY332">
        <v>1</v>
      </c>
      <c r="CZ332">
        <v>0</v>
      </c>
      <c r="DA332">
        <v>0</v>
      </c>
      <c r="DB332">
        <v>0</v>
      </c>
      <c r="DC332">
        <v>0</v>
      </c>
      <c r="DD332">
        <v>1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"12/16/2021 14:43:56.732"</f>
        <v>12/16/2021 14:43:56.732</v>
      </c>
      <c r="C333" t="str">
        <f t="shared" si="16"/>
        <v>FFDFD3C0</v>
      </c>
      <c r="D333" t="s">
        <v>124</v>
      </c>
      <c r="E333">
        <v>10</v>
      </c>
      <c r="F333">
        <v>1010</v>
      </c>
      <c r="G333" t="s">
        <v>130</v>
      </c>
      <c r="J333" t="s">
        <v>125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"14:43:56.492"</f>
        <v>14:43:56.492</v>
      </c>
      <c r="T333" t="str">
        <f>"14:43:56.092"</f>
        <v>14:43:56.092</v>
      </c>
      <c r="U333" t="str">
        <f t="shared" si="15"/>
        <v>A0F928</v>
      </c>
      <c r="V333">
        <v>0</v>
      </c>
      <c r="W333">
        <v>0</v>
      </c>
      <c r="X333">
        <v>2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1</v>
      </c>
      <c r="AI333" t="s">
        <v>289</v>
      </c>
      <c r="AJ333">
        <v>35.789079999999998</v>
      </c>
      <c r="AK333" t="s">
        <v>290</v>
      </c>
      <c r="AL333">
        <v>-83.976208999999997</v>
      </c>
      <c r="AM333">
        <v>25</v>
      </c>
      <c r="AN333">
        <v>1650</v>
      </c>
      <c r="AO333" t="s">
        <v>118</v>
      </c>
      <c r="AP333">
        <v>89</v>
      </c>
      <c r="AQ333">
        <v>109</v>
      </c>
      <c r="AR333">
        <v>192</v>
      </c>
      <c r="AZ333">
        <v>300</v>
      </c>
      <c r="BA333">
        <v>1</v>
      </c>
      <c r="BB333" t="str">
        <f t="shared" si="17"/>
        <v xml:space="preserve">N162AM  </v>
      </c>
      <c r="BC333">
        <v>1</v>
      </c>
      <c r="BE333">
        <v>0</v>
      </c>
      <c r="BF333">
        <v>0</v>
      </c>
      <c r="BG333">
        <v>0</v>
      </c>
      <c r="BH333">
        <v>1925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>"14:43:56.498"</f>
        <v>14:43:56.498</v>
      </c>
      <c r="CJ333">
        <v>3</v>
      </c>
      <c r="CK333">
        <v>2</v>
      </c>
      <c r="CL333">
        <v>0</v>
      </c>
      <c r="CM333">
        <v>2</v>
      </c>
      <c r="CN333">
        <v>0</v>
      </c>
      <c r="CO333">
        <v>6</v>
      </c>
      <c r="CP333" t="s">
        <v>119</v>
      </c>
      <c r="CQ333">
        <v>232</v>
      </c>
      <c r="CR333">
        <v>2</v>
      </c>
      <c r="CW333">
        <v>6138378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1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"12/16/2021 14:43:56.732"</f>
        <v>12/16/2021 14:43:56.732</v>
      </c>
      <c r="C334" t="str">
        <f t="shared" si="16"/>
        <v>FFDFD3C0</v>
      </c>
      <c r="D334" t="s">
        <v>113</v>
      </c>
      <c r="E334">
        <v>8</v>
      </c>
      <c r="H334">
        <v>176</v>
      </c>
      <c r="I334" t="s">
        <v>114</v>
      </c>
      <c r="J334" t="s">
        <v>115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"14:43:56.492"</f>
        <v>14:43:56.492</v>
      </c>
      <c r="T334" t="str">
        <f>"14:43:56.092"</f>
        <v>14:43:56.092</v>
      </c>
      <c r="U334" t="str">
        <f t="shared" si="15"/>
        <v>A0F928</v>
      </c>
      <c r="V334">
        <v>0</v>
      </c>
      <c r="W334">
        <v>0</v>
      </c>
      <c r="X334">
        <v>2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1</v>
      </c>
      <c r="AI334" t="s">
        <v>289</v>
      </c>
      <c r="AJ334">
        <v>35.789079999999998</v>
      </c>
      <c r="AK334" t="s">
        <v>290</v>
      </c>
      <c r="AL334">
        <v>-83.976208999999997</v>
      </c>
      <c r="AM334">
        <v>25</v>
      </c>
      <c r="AN334">
        <v>1650</v>
      </c>
      <c r="AO334" t="s">
        <v>118</v>
      </c>
      <c r="AP334">
        <v>89</v>
      </c>
      <c r="AQ334">
        <v>109</v>
      </c>
      <c r="AR334">
        <v>192</v>
      </c>
      <c r="AZ334">
        <v>300</v>
      </c>
      <c r="BA334">
        <v>1</v>
      </c>
      <c r="BB334" t="str">
        <f t="shared" si="17"/>
        <v xml:space="preserve">N162AM  </v>
      </c>
      <c r="BC334">
        <v>1</v>
      </c>
      <c r="BE334">
        <v>0</v>
      </c>
      <c r="BF334">
        <v>0</v>
      </c>
      <c r="BG334">
        <v>0</v>
      </c>
      <c r="BH334">
        <v>1925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>"14:43:56.498"</f>
        <v>14:43:56.498</v>
      </c>
      <c r="CJ334">
        <v>3</v>
      </c>
      <c r="CK334">
        <v>2</v>
      </c>
      <c r="CL334">
        <v>0</v>
      </c>
      <c r="CM334">
        <v>2</v>
      </c>
      <c r="CN334">
        <v>0</v>
      </c>
      <c r="CO334">
        <v>6</v>
      </c>
      <c r="CP334" t="s">
        <v>119</v>
      </c>
      <c r="CQ334">
        <v>232</v>
      </c>
      <c r="CR334">
        <v>2</v>
      </c>
      <c r="CW334">
        <v>6138378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1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"12/16/2021 14:43:56.732"</f>
        <v>12/16/2021 14:43:56.732</v>
      </c>
      <c r="C335" t="str">
        <f t="shared" si="16"/>
        <v>FFDFD3C0</v>
      </c>
      <c r="D335" t="s">
        <v>124</v>
      </c>
      <c r="E335">
        <v>5</v>
      </c>
      <c r="F335">
        <v>1005</v>
      </c>
      <c r="G335" t="s">
        <v>114</v>
      </c>
      <c r="J335" t="s">
        <v>125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"14:43:56.492"</f>
        <v>14:43:56.492</v>
      </c>
      <c r="T335" t="str">
        <f>"14:43:56.092"</f>
        <v>14:43:56.092</v>
      </c>
      <c r="U335" t="str">
        <f t="shared" si="15"/>
        <v>A0F928</v>
      </c>
      <c r="V335">
        <v>0</v>
      </c>
      <c r="W335">
        <v>0</v>
      </c>
      <c r="X335">
        <v>2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1</v>
      </c>
      <c r="AI335" t="s">
        <v>289</v>
      </c>
      <c r="AJ335">
        <v>35.789079999999998</v>
      </c>
      <c r="AK335" t="s">
        <v>290</v>
      </c>
      <c r="AL335">
        <v>-83.976208999999997</v>
      </c>
      <c r="AM335">
        <v>25</v>
      </c>
      <c r="AN335">
        <v>1650</v>
      </c>
      <c r="AO335" t="s">
        <v>118</v>
      </c>
      <c r="AP335">
        <v>89</v>
      </c>
      <c r="AQ335">
        <v>109</v>
      </c>
      <c r="AR335">
        <v>192</v>
      </c>
      <c r="AZ335">
        <v>300</v>
      </c>
      <c r="BA335">
        <v>1</v>
      </c>
      <c r="BB335" t="str">
        <f t="shared" si="17"/>
        <v xml:space="preserve">N162AM  </v>
      </c>
      <c r="BC335">
        <v>1</v>
      </c>
      <c r="BE335">
        <v>0</v>
      </c>
      <c r="BF335">
        <v>0</v>
      </c>
      <c r="BG335">
        <v>0</v>
      </c>
      <c r="BH335">
        <v>1925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>"14:43:56.498"</f>
        <v>14:43:56.498</v>
      </c>
      <c r="CJ335">
        <v>3</v>
      </c>
      <c r="CK335">
        <v>2</v>
      </c>
      <c r="CL335">
        <v>0</v>
      </c>
      <c r="CM335">
        <v>2</v>
      </c>
      <c r="CN335">
        <v>0</v>
      </c>
      <c r="CO335">
        <v>6</v>
      </c>
      <c r="CP335" t="s">
        <v>119</v>
      </c>
      <c r="CQ335">
        <v>232</v>
      </c>
      <c r="CR335">
        <v>2</v>
      </c>
      <c r="CW335">
        <v>6138378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1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"12/16/2021 14:43:57.810"</f>
        <v>12/16/2021 14:43:57.810</v>
      </c>
      <c r="C336" t="str">
        <f t="shared" si="16"/>
        <v>FFDFD3C0</v>
      </c>
      <c r="D336" t="s">
        <v>113</v>
      </c>
      <c r="E336">
        <v>8</v>
      </c>
      <c r="H336">
        <v>176</v>
      </c>
      <c r="I336" t="s">
        <v>114</v>
      </c>
      <c r="J336" t="s">
        <v>115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"14:43:57.570"</f>
        <v>14:43:57.570</v>
      </c>
      <c r="T336" t="str">
        <f>"14:43:56.570"</f>
        <v>14:43:56.570</v>
      </c>
      <c r="U336" t="str">
        <f t="shared" si="15"/>
        <v>A0F928</v>
      </c>
      <c r="V336">
        <v>0</v>
      </c>
      <c r="W336">
        <v>0</v>
      </c>
      <c r="X336">
        <v>2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1</v>
      </c>
      <c r="AI336" t="s">
        <v>291</v>
      </c>
      <c r="AJ336">
        <v>35.789659</v>
      </c>
      <c r="AK336" t="s">
        <v>292</v>
      </c>
      <c r="AL336">
        <v>-83.975650999999999</v>
      </c>
      <c r="AM336">
        <v>25</v>
      </c>
      <c r="AN336">
        <v>1675</v>
      </c>
      <c r="AO336" t="s">
        <v>118</v>
      </c>
      <c r="AP336">
        <v>89</v>
      </c>
      <c r="AQ336">
        <v>109</v>
      </c>
      <c r="AR336">
        <v>256</v>
      </c>
      <c r="AZ336">
        <v>300</v>
      </c>
      <c r="BA336">
        <v>1</v>
      </c>
      <c r="BB336" t="str">
        <f t="shared" si="17"/>
        <v xml:space="preserve">N162AM  </v>
      </c>
      <c r="BC336">
        <v>1</v>
      </c>
      <c r="BE336">
        <v>0</v>
      </c>
      <c r="BF336">
        <v>0</v>
      </c>
      <c r="BG336">
        <v>0</v>
      </c>
      <c r="BH336">
        <v>1925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>"14:43:57.578"</f>
        <v>14:43:57.578</v>
      </c>
      <c r="CJ336">
        <v>3</v>
      </c>
      <c r="CK336">
        <v>2</v>
      </c>
      <c r="CL336">
        <v>0</v>
      </c>
      <c r="CM336">
        <v>2</v>
      </c>
      <c r="CN336">
        <v>0</v>
      </c>
      <c r="CO336">
        <v>6</v>
      </c>
      <c r="CP336" t="s">
        <v>119</v>
      </c>
      <c r="CQ336">
        <v>232</v>
      </c>
      <c r="CR336">
        <v>1</v>
      </c>
      <c r="CW336">
        <v>14943029</v>
      </c>
      <c r="CY336">
        <v>1</v>
      </c>
      <c r="CZ336">
        <v>0</v>
      </c>
      <c r="DA336">
        <v>0</v>
      </c>
      <c r="DB336">
        <v>0</v>
      </c>
      <c r="DC336">
        <v>0</v>
      </c>
      <c r="DD336">
        <v>1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"12/16/2021 14:43:57.810"</f>
        <v>12/16/2021 14:43:57.810</v>
      </c>
      <c r="C337" t="str">
        <f t="shared" si="16"/>
        <v>FFDFD3C0</v>
      </c>
      <c r="D337" t="s">
        <v>124</v>
      </c>
      <c r="E337">
        <v>5</v>
      </c>
      <c r="F337">
        <v>1005</v>
      </c>
      <c r="G337" t="s">
        <v>114</v>
      </c>
      <c r="J337" t="s">
        <v>125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"14:43:57.570"</f>
        <v>14:43:57.570</v>
      </c>
      <c r="T337" t="str">
        <f>"14:43:56.570"</f>
        <v>14:43:56.570</v>
      </c>
      <c r="U337" t="str">
        <f t="shared" si="15"/>
        <v>A0F928</v>
      </c>
      <c r="V337">
        <v>0</v>
      </c>
      <c r="W337">
        <v>0</v>
      </c>
      <c r="X337">
        <v>2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1</v>
      </c>
      <c r="AI337" t="s">
        <v>291</v>
      </c>
      <c r="AJ337">
        <v>35.789659</v>
      </c>
      <c r="AK337" t="s">
        <v>292</v>
      </c>
      <c r="AL337">
        <v>-83.975650999999999</v>
      </c>
      <c r="AM337">
        <v>25</v>
      </c>
      <c r="AN337">
        <v>1675</v>
      </c>
      <c r="AO337" t="s">
        <v>118</v>
      </c>
      <c r="AP337">
        <v>89</v>
      </c>
      <c r="AQ337">
        <v>109</v>
      </c>
      <c r="AR337">
        <v>256</v>
      </c>
      <c r="AZ337">
        <v>300</v>
      </c>
      <c r="BA337">
        <v>1</v>
      </c>
      <c r="BB337" t="str">
        <f t="shared" si="17"/>
        <v xml:space="preserve">N162AM  </v>
      </c>
      <c r="BC337">
        <v>1</v>
      </c>
      <c r="BE337">
        <v>0</v>
      </c>
      <c r="BF337">
        <v>0</v>
      </c>
      <c r="BG337">
        <v>0</v>
      </c>
      <c r="BH337">
        <v>1925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>"14:43:57.578"</f>
        <v>14:43:57.578</v>
      </c>
      <c r="CJ337">
        <v>3</v>
      </c>
      <c r="CK337">
        <v>2</v>
      </c>
      <c r="CL337">
        <v>0</v>
      </c>
      <c r="CM337">
        <v>2</v>
      </c>
      <c r="CN337">
        <v>0</v>
      </c>
      <c r="CO337">
        <v>6</v>
      </c>
      <c r="CP337" t="s">
        <v>119</v>
      </c>
      <c r="CQ337">
        <v>232</v>
      </c>
      <c r="CR337">
        <v>1</v>
      </c>
      <c r="CW337">
        <v>14943029</v>
      </c>
      <c r="CY337">
        <v>1</v>
      </c>
      <c r="CZ337">
        <v>0</v>
      </c>
      <c r="DA337">
        <v>1</v>
      </c>
      <c r="DB337">
        <v>0</v>
      </c>
      <c r="DC337">
        <v>0</v>
      </c>
      <c r="DD337">
        <v>1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"12/16/2021 14:43:57.810"</f>
        <v>12/16/2021 14:43:57.810</v>
      </c>
      <c r="C338" t="str">
        <f t="shared" si="16"/>
        <v>FFDFD3C0</v>
      </c>
      <c r="D338" t="s">
        <v>124</v>
      </c>
      <c r="E338">
        <v>10</v>
      </c>
      <c r="F338">
        <v>1010</v>
      </c>
      <c r="G338" t="s">
        <v>130</v>
      </c>
      <c r="J338" t="s">
        <v>125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"14:43:57.570"</f>
        <v>14:43:57.570</v>
      </c>
      <c r="T338" t="str">
        <f>"14:43:56.570"</f>
        <v>14:43:56.570</v>
      </c>
      <c r="U338" t="str">
        <f t="shared" si="15"/>
        <v>A0F928</v>
      </c>
      <c r="V338">
        <v>0</v>
      </c>
      <c r="W338">
        <v>0</v>
      </c>
      <c r="X338">
        <v>2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1</v>
      </c>
      <c r="AI338" t="s">
        <v>291</v>
      </c>
      <c r="AJ338">
        <v>35.789659</v>
      </c>
      <c r="AK338" t="s">
        <v>292</v>
      </c>
      <c r="AL338">
        <v>-83.975650999999999</v>
      </c>
      <c r="AM338">
        <v>25</v>
      </c>
      <c r="AN338">
        <v>1675</v>
      </c>
      <c r="AO338" t="s">
        <v>118</v>
      </c>
      <c r="AP338">
        <v>89</v>
      </c>
      <c r="AQ338">
        <v>109</v>
      </c>
      <c r="AR338">
        <v>256</v>
      </c>
      <c r="AZ338">
        <v>300</v>
      </c>
      <c r="BA338">
        <v>1</v>
      </c>
      <c r="BB338" t="str">
        <f t="shared" si="17"/>
        <v xml:space="preserve">N162AM  </v>
      </c>
      <c r="BC338">
        <v>1</v>
      </c>
      <c r="BE338">
        <v>0</v>
      </c>
      <c r="BF338">
        <v>0</v>
      </c>
      <c r="BG338">
        <v>0</v>
      </c>
      <c r="BH338">
        <v>1925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>"14:43:57.578"</f>
        <v>14:43:57.578</v>
      </c>
      <c r="CJ338">
        <v>3</v>
      </c>
      <c r="CK338">
        <v>2</v>
      </c>
      <c r="CL338">
        <v>0</v>
      </c>
      <c r="CM338">
        <v>2</v>
      </c>
      <c r="CN338">
        <v>0</v>
      </c>
      <c r="CO338">
        <v>6</v>
      </c>
      <c r="CP338" t="s">
        <v>119</v>
      </c>
      <c r="CQ338">
        <v>232</v>
      </c>
      <c r="CR338">
        <v>1</v>
      </c>
      <c r="CW338">
        <v>14943029</v>
      </c>
      <c r="CY338">
        <v>1</v>
      </c>
      <c r="CZ338">
        <v>0</v>
      </c>
      <c r="DA338">
        <v>1</v>
      </c>
      <c r="DB338">
        <v>0</v>
      </c>
      <c r="DC338">
        <v>0</v>
      </c>
      <c r="DD338">
        <v>1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"12/16/2021 14:43:57.826"</f>
        <v>12/16/2021 14:43:57.826</v>
      </c>
      <c r="C339" t="str">
        <f t="shared" si="16"/>
        <v>FFDFD3C0</v>
      </c>
      <c r="D339" t="s">
        <v>133</v>
      </c>
      <c r="E339">
        <v>44</v>
      </c>
      <c r="H339">
        <v>131</v>
      </c>
      <c r="I339" t="s">
        <v>134</v>
      </c>
      <c r="J339" t="s">
        <v>135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"14:43:57.570"</f>
        <v>14:43:57.570</v>
      </c>
      <c r="T339" t="str">
        <f>"14:43:56.570"</f>
        <v>14:43:56.570</v>
      </c>
      <c r="U339" t="str">
        <f t="shared" si="15"/>
        <v>A0F928</v>
      </c>
      <c r="V339">
        <v>0</v>
      </c>
      <c r="W339">
        <v>0</v>
      </c>
      <c r="X339">
        <v>2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1</v>
      </c>
      <c r="AI339" t="s">
        <v>291</v>
      </c>
      <c r="AJ339">
        <v>35.789659</v>
      </c>
      <c r="AK339" t="s">
        <v>292</v>
      </c>
      <c r="AL339">
        <v>-83.975650999999999</v>
      </c>
      <c r="AM339">
        <v>25</v>
      </c>
      <c r="AN339">
        <v>1675</v>
      </c>
      <c r="AO339" t="s">
        <v>118</v>
      </c>
      <c r="AP339">
        <v>89</v>
      </c>
      <c r="AQ339">
        <v>109</v>
      </c>
      <c r="AR339">
        <v>256</v>
      </c>
      <c r="AZ339">
        <v>300</v>
      </c>
      <c r="BA339">
        <v>1</v>
      </c>
      <c r="BB339" t="str">
        <f t="shared" si="17"/>
        <v xml:space="preserve">N162AM  </v>
      </c>
      <c r="BC339">
        <v>1</v>
      </c>
      <c r="BE339">
        <v>0</v>
      </c>
      <c r="BF339">
        <v>0</v>
      </c>
      <c r="BG339">
        <v>0</v>
      </c>
      <c r="BH339">
        <v>1925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>"14:43:57.578"</f>
        <v>14:43:57.578</v>
      </c>
      <c r="CJ339">
        <v>3</v>
      </c>
      <c r="CK339">
        <v>2</v>
      </c>
      <c r="CL339">
        <v>0</v>
      </c>
      <c r="CM339">
        <v>2</v>
      </c>
      <c r="CN339">
        <v>0</v>
      </c>
      <c r="CO339">
        <v>6</v>
      </c>
      <c r="CP339" t="s">
        <v>119</v>
      </c>
      <c r="CQ339">
        <v>232</v>
      </c>
      <c r="CR339">
        <v>1</v>
      </c>
      <c r="CW339">
        <v>14943029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1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"12/16/2021 14:43:58.967"</f>
        <v>12/16/2021 14:43:58.967</v>
      </c>
      <c r="C340" t="str">
        <f t="shared" si="16"/>
        <v>FFDFD3C0</v>
      </c>
      <c r="D340" t="s">
        <v>124</v>
      </c>
      <c r="E340">
        <v>10</v>
      </c>
      <c r="F340">
        <v>1010</v>
      </c>
      <c r="G340" t="s">
        <v>130</v>
      </c>
      <c r="J340" t="s">
        <v>125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"14:43:58.695"</f>
        <v>14:43:58.695</v>
      </c>
      <c r="T340" t="str">
        <f>"14:43:58.195"</f>
        <v>14:43:58.195</v>
      </c>
      <c r="U340" t="str">
        <f t="shared" si="15"/>
        <v>A0F928</v>
      </c>
      <c r="V340">
        <v>0</v>
      </c>
      <c r="W340">
        <v>0</v>
      </c>
      <c r="X340">
        <v>2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1</v>
      </c>
      <c r="AI340" t="s">
        <v>293</v>
      </c>
      <c r="AJ340">
        <v>35.790194999999997</v>
      </c>
      <c r="AK340" t="s">
        <v>294</v>
      </c>
      <c r="AL340">
        <v>-83.975115000000002</v>
      </c>
      <c r="AM340">
        <v>25</v>
      </c>
      <c r="AN340">
        <v>1675</v>
      </c>
      <c r="AO340" t="s">
        <v>118</v>
      </c>
      <c r="AP340">
        <v>89</v>
      </c>
      <c r="AQ340">
        <v>108</v>
      </c>
      <c r="AR340">
        <v>256</v>
      </c>
      <c r="AZ340">
        <v>300</v>
      </c>
      <c r="BA340">
        <v>1</v>
      </c>
      <c r="BB340" t="str">
        <f t="shared" si="17"/>
        <v xml:space="preserve">N162AM  </v>
      </c>
      <c r="BC340">
        <v>1</v>
      </c>
      <c r="BE340">
        <v>0</v>
      </c>
      <c r="BF340">
        <v>0</v>
      </c>
      <c r="BG340">
        <v>0</v>
      </c>
      <c r="BH340">
        <v>1925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>"14:43:58.697"</f>
        <v>14:43:58.697</v>
      </c>
      <c r="CJ340">
        <v>3</v>
      </c>
      <c r="CK340">
        <v>2</v>
      </c>
      <c r="CL340">
        <v>0</v>
      </c>
      <c r="CM340">
        <v>2</v>
      </c>
      <c r="CN340">
        <v>0</v>
      </c>
      <c r="CO340">
        <v>6</v>
      </c>
      <c r="CP340" t="s">
        <v>119</v>
      </c>
      <c r="CQ340">
        <v>232</v>
      </c>
      <c r="CR340">
        <v>2</v>
      </c>
      <c r="CW340">
        <v>6141693</v>
      </c>
      <c r="CY340">
        <v>1</v>
      </c>
      <c r="CZ340">
        <v>0</v>
      </c>
      <c r="DA340">
        <v>0</v>
      </c>
      <c r="DB340">
        <v>0</v>
      </c>
      <c r="DC340">
        <v>0</v>
      </c>
      <c r="DD340">
        <v>1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"12/16/2021 14:43:58.967"</f>
        <v>12/16/2021 14:43:58.967</v>
      </c>
      <c r="C341" t="str">
        <f t="shared" si="16"/>
        <v>FFDFD3C0</v>
      </c>
      <c r="D341" t="s">
        <v>113</v>
      </c>
      <c r="E341">
        <v>8</v>
      </c>
      <c r="H341">
        <v>176</v>
      </c>
      <c r="I341" t="s">
        <v>114</v>
      </c>
      <c r="J341" t="s">
        <v>115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"14:43:58.695"</f>
        <v>14:43:58.695</v>
      </c>
      <c r="T341" t="str">
        <f>"14:43:58.195"</f>
        <v>14:43:58.195</v>
      </c>
      <c r="U341" t="str">
        <f t="shared" si="15"/>
        <v>A0F928</v>
      </c>
      <c r="V341">
        <v>0</v>
      </c>
      <c r="W341">
        <v>0</v>
      </c>
      <c r="X341">
        <v>2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1</v>
      </c>
      <c r="AI341" t="s">
        <v>293</v>
      </c>
      <c r="AJ341">
        <v>35.790194999999997</v>
      </c>
      <c r="AK341" t="s">
        <v>294</v>
      </c>
      <c r="AL341">
        <v>-83.975115000000002</v>
      </c>
      <c r="AM341">
        <v>25</v>
      </c>
      <c r="AN341">
        <v>1675</v>
      </c>
      <c r="AO341" t="s">
        <v>118</v>
      </c>
      <c r="AP341">
        <v>89</v>
      </c>
      <c r="AQ341">
        <v>108</v>
      </c>
      <c r="AR341">
        <v>256</v>
      </c>
      <c r="AZ341">
        <v>300</v>
      </c>
      <c r="BA341">
        <v>1</v>
      </c>
      <c r="BB341" t="str">
        <f t="shared" si="17"/>
        <v xml:space="preserve">N162AM  </v>
      </c>
      <c r="BC341">
        <v>1</v>
      </c>
      <c r="BE341">
        <v>0</v>
      </c>
      <c r="BF341">
        <v>0</v>
      </c>
      <c r="BG341">
        <v>0</v>
      </c>
      <c r="BH341">
        <v>1925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>"14:43:58.697"</f>
        <v>14:43:58.697</v>
      </c>
      <c r="CJ341">
        <v>3</v>
      </c>
      <c r="CK341">
        <v>2</v>
      </c>
      <c r="CL341">
        <v>0</v>
      </c>
      <c r="CM341">
        <v>2</v>
      </c>
      <c r="CN341">
        <v>0</v>
      </c>
      <c r="CO341">
        <v>6</v>
      </c>
      <c r="CP341" t="s">
        <v>119</v>
      </c>
      <c r="CQ341">
        <v>232</v>
      </c>
      <c r="CR341">
        <v>2</v>
      </c>
      <c r="CW341">
        <v>6141693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1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"12/16/2021 14:43:58.967"</f>
        <v>12/16/2021 14:43:58.967</v>
      </c>
      <c r="C342" t="str">
        <f t="shared" si="16"/>
        <v>FFDFD3C0</v>
      </c>
      <c r="D342" t="s">
        <v>124</v>
      </c>
      <c r="E342">
        <v>5</v>
      </c>
      <c r="F342">
        <v>1005</v>
      </c>
      <c r="G342" t="s">
        <v>114</v>
      </c>
      <c r="J342" t="s">
        <v>125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"14:43:58.695"</f>
        <v>14:43:58.695</v>
      </c>
      <c r="T342" t="str">
        <f>"14:43:58.195"</f>
        <v>14:43:58.195</v>
      </c>
      <c r="U342" t="str">
        <f t="shared" si="15"/>
        <v>A0F928</v>
      </c>
      <c r="V342">
        <v>0</v>
      </c>
      <c r="W342">
        <v>0</v>
      </c>
      <c r="X342">
        <v>2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1</v>
      </c>
      <c r="AI342" t="s">
        <v>293</v>
      </c>
      <c r="AJ342">
        <v>35.790194999999997</v>
      </c>
      <c r="AK342" t="s">
        <v>294</v>
      </c>
      <c r="AL342">
        <v>-83.975115000000002</v>
      </c>
      <c r="AM342">
        <v>25</v>
      </c>
      <c r="AN342">
        <v>1675</v>
      </c>
      <c r="AO342" t="s">
        <v>118</v>
      </c>
      <c r="AP342">
        <v>89</v>
      </c>
      <c r="AQ342">
        <v>108</v>
      </c>
      <c r="AR342">
        <v>256</v>
      </c>
      <c r="AZ342">
        <v>300</v>
      </c>
      <c r="BA342">
        <v>1</v>
      </c>
      <c r="BB342" t="str">
        <f t="shared" si="17"/>
        <v xml:space="preserve">N162AM  </v>
      </c>
      <c r="BC342">
        <v>1</v>
      </c>
      <c r="BE342">
        <v>0</v>
      </c>
      <c r="BF342">
        <v>0</v>
      </c>
      <c r="BG342">
        <v>0</v>
      </c>
      <c r="BH342">
        <v>1925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>"14:43:58.697"</f>
        <v>14:43:58.697</v>
      </c>
      <c r="CJ342">
        <v>3</v>
      </c>
      <c r="CK342">
        <v>2</v>
      </c>
      <c r="CL342">
        <v>0</v>
      </c>
      <c r="CM342">
        <v>2</v>
      </c>
      <c r="CN342">
        <v>0</v>
      </c>
      <c r="CO342">
        <v>6</v>
      </c>
      <c r="CP342" t="s">
        <v>119</v>
      </c>
      <c r="CQ342">
        <v>232</v>
      </c>
      <c r="CR342">
        <v>2</v>
      </c>
      <c r="CW342">
        <v>6141693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"12/16/2021 14:43:58.967"</f>
        <v>12/16/2021 14:43:58.967</v>
      </c>
      <c r="C343" t="str">
        <f t="shared" si="16"/>
        <v>FFDFD3C0</v>
      </c>
      <c r="D343" t="s">
        <v>133</v>
      </c>
      <c r="E343">
        <v>44</v>
      </c>
      <c r="H343">
        <v>131</v>
      </c>
      <c r="I343" t="s">
        <v>134</v>
      </c>
      <c r="J343" t="s">
        <v>135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"14:43:58.695"</f>
        <v>14:43:58.695</v>
      </c>
      <c r="T343" t="str">
        <f>"14:43:58.195"</f>
        <v>14:43:58.195</v>
      </c>
      <c r="U343" t="str">
        <f t="shared" si="15"/>
        <v>A0F928</v>
      </c>
      <c r="V343">
        <v>0</v>
      </c>
      <c r="W343">
        <v>0</v>
      </c>
      <c r="X343">
        <v>2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1</v>
      </c>
      <c r="AI343" t="s">
        <v>293</v>
      </c>
      <c r="AJ343">
        <v>35.790194999999997</v>
      </c>
      <c r="AK343" t="s">
        <v>294</v>
      </c>
      <c r="AL343">
        <v>-83.975115000000002</v>
      </c>
      <c r="AM343">
        <v>25</v>
      </c>
      <c r="AN343">
        <v>1675</v>
      </c>
      <c r="AO343" t="s">
        <v>118</v>
      </c>
      <c r="AP343">
        <v>89</v>
      </c>
      <c r="AQ343">
        <v>108</v>
      </c>
      <c r="AR343">
        <v>256</v>
      </c>
      <c r="AZ343">
        <v>300</v>
      </c>
      <c r="BA343">
        <v>1</v>
      </c>
      <c r="BB343" t="str">
        <f t="shared" si="17"/>
        <v xml:space="preserve">N162AM  </v>
      </c>
      <c r="BC343">
        <v>1</v>
      </c>
      <c r="BE343">
        <v>0</v>
      </c>
      <c r="BF343">
        <v>0</v>
      </c>
      <c r="BG343">
        <v>0</v>
      </c>
      <c r="BH343">
        <v>1925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>"14:43:58.697"</f>
        <v>14:43:58.697</v>
      </c>
      <c r="CJ343">
        <v>3</v>
      </c>
      <c r="CK343">
        <v>2</v>
      </c>
      <c r="CL343">
        <v>0</v>
      </c>
      <c r="CM343">
        <v>2</v>
      </c>
      <c r="CN343">
        <v>0</v>
      </c>
      <c r="CO343">
        <v>6</v>
      </c>
      <c r="CP343" t="s">
        <v>119</v>
      </c>
      <c r="CQ343">
        <v>232</v>
      </c>
      <c r="CR343">
        <v>2</v>
      </c>
      <c r="CW343">
        <v>6141693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"12/16/2021 14:43:59.912"</f>
        <v>12/16/2021 14:43:59.912</v>
      </c>
      <c r="C344" t="str">
        <f t="shared" si="16"/>
        <v>FFDFD3C0</v>
      </c>
      <c r="D344" t="s">
        <v>124</v>
      </c>
      <c r="E344">
        <v>10</v>
      </c>
      <c r="F344">
        <v>1010</v>
      </c>
      <c r="G344" t="s">
        <v>130</v>
      </c>
      <c r="J344" t="s">
        <v>125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"14:43:59.680"</f>
        <v>14:43:59.680</v>
      </c>
      <c r="T344" t="str">
        <f>"14:43:59.180"</f>
        <v>14:43:59.180</v>
      </c>
      <c r="U344" t="str">
        <f t="shared" si="15"/>
        <v>A0F928</v>
      </c>
      <c r="V344">
        <v>0</v>
      </c>
      <c r="W344">
        <v>0</v>
      </c>
      <c r="X344">
        <v>2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1</v>
      </c>
      <c r="AI344" t="s">
        <v>295</v>
      </c>
      <c r="AJ344">
        <v>35.790709999999997</v>
      </c>
      <c r="AK344" t="s">
        <v>296</v>
      </c>
      <c r="AL344">
        <v>-83.974577999999994</v>
      </c>
      <c r="AM344">
        <v>25</v>
      </c>
      <c r="AN344">
        <v>1675</v>
      </c>
      <c r="AO344" t="s">
        <v>118</v>
      </c>
      <c r="AP344">
        <v>88</v>
      </c>
      <c r="AQ344">
        <v>108</v>
      </c>
      <c r="AR344">
        <v>256</v>
      </c>
      <c r="AZ344">
        <v>300</v>
      </c>
      <c r="BA344">
        <v>1</v>
      </c>
      <c r="BB344" t="str">
        <f t="shared" si="17"/>
        <v xml:space="preserve">N162AM  </v>
      </c>
      <c r="BC344">
        <v>1</v>
      </c>
      <c r="BE344">
        <v>0</v>
      </c>
      <c r="BF344">
        <v>0</v>
      </c>
      <c r="BG344">
        <v>0</v>
      </c>
      <c r="BH344">
        <v>1950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>"14:43:59.681"</f>
        <v>14:43:59.681</v>
      </c>
      <c r="CJ344">
        <v>3</v>
      </c>
      <c r="CK344">
        <v>2</v>
      </c>
      <c r="CL344">
        <v>0</v>
      </c>
      <c r="CM344">
        <v>2</v>
      </c>
      <c r="CN344">
        <v>0</v>
      </c>
      <c r="CO344">
        <v>6</v>
      </c>
      <c r="CP344" t="s">
        <v>119</v>
      </c>
      <c r="CQ344">
        <v>232</v>
      </c>
      <c r="CR344">
        <v>1</v>
      </c>
      <c r="CW344">
        <v>14946348</v>
      </c>
      <c r="CY344">
        <v>1</v>
      </c>
      <c r="CZ344">
        <v>0</v>
      </c>
      <c r="DA344">
        <v>0</v>
      </c>
      <c r="DB344">
        <v>0</v>
      </c>
      <c r="DC344">
        <v>0</v>
      </c>
      <c r="DD344">
        <v>1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"12/16/2021 14:43:59.912"</f>
        <v>12/16/2021 14:43:59.912</v>
      </c>
      <c r="C345" t="str">
        <f t="shared" si="16"/>
        <v>FFDFD3C0</v>
      </c>
      <c r="D345" t="s">
        <v>133</v>
      </c>
      <c r="E345">
        <v>44</v>
      </c>
      <c r="H345">
        <v>131</v>
      </c>
      <c r="I345" t="s">
        <v>134</v>
      </c>
      <c r="J345" t="s">
        <v>135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"14:43:59.680"</f>
        <v>14:43:59.680</v>
      </c>
      <c r="T345" t="str">
        <f>"14:43:59.180"</f>
        <v>14:43:59.180</v>
      </c>
      <c r="U345" t="str">
        <f t="shared" si="15"/>
        <v>A0F928</v>
      </c>
      <c r="V345">
        <v>0</v>
      </c>
      <c r="W345">
        <v>0</v>
      </c>
      <c r="X345">
        <v>2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1</v>
      </c>
      <c r="AI345" t="s">
        <v>295</v>
      </c>
      <c r="AJ345">
        <v>35.790709999999997</v>
      </c>
      <c r="AK345" t="s">
        <v>296</v>
      </c>
      <c r="AL345">
        <v>-83.974577999999994</v>
      </c>
      <c r="AM345">
        <v>25</v>
      </c>
      <c r="AN345">
        <v>1675</v>
      </c>
      <c r="AO345" t="s">
        <v>118</v>
      </c>
      <c r="AP345">
        <v>88</v>
      </c>
      <c r="AQ345">
        <v>108</v>
      </c>
      <c r="AR345">
        <v>256</v>
      </c>
      <c r="AZ345">
        <v>300</v>
      </c>
      <c r="BA345">
        <v>1</v>
      </c>
      <c r="BB345" t="str">
        <f t="shared" si="17"/>
        <v xml:space="preserve">N162AM  </v>
      </c>
      <c r="BC345">
        <v>1</v>
      </c>
      <c r="BE345">
        <v>0</v>
      </c>
      <c r="BF345">
        <v>0</v>
      </c>
      <c r="BG345">
        <v>0</v>
      </c>
      <c r="BH345">
        <v>1950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>"14:43:59.681"</f>
        <v>14:43:59.681</v>
      </c>
      <c r="CJ345">
        <v>3</v>
      </c>
      <c r="CK345">
        <v>2</v>
      </c>
      <c r="CL345">
        <v>0</v>
      </c>
      <c r="CM345">
        <v>2</v>
      </c>
      <c r="CN345">
        <v>0</v>
      </c>
      <c r="CO345">
        <v>6</v>
      </c>
      <c r="CP345" t="s">
        <v>119</v>
      </c>
      <c r="CQ345">
        <v>232</v>
      </c>
      <c r="CR345">
        <v>1</v>
      </c>
      <c r="CW345">
        <v>14946348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1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"12/16/2021 14:43:59.912"</f>
        <v>12/16/2021 14:43:59.912</v>
      </c>
      <c r="C346" t="str">
        <f t="shared" si="16"/>
        <v>FFDFD3C0</v>
      </c>
      <c r="D346" t="s">
        <v>124</v>
      </c>
      <c r="E346">
        <v>5</v>
      </c>
      <c r="F346">
        <v>1005</v>
      </c>
      <c r="G346" t="s">
        <v>114</v>
      </c>
      <c r="J346" t="s">
        <v>125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"14:43:59.680"</f>
        <v>14:43:59.680</v>
      </c>
      <c r="T346" t="str">
        <f>"14:43:59.180"</f>
        <v>14:43:59.180</v>
      </c>
      <c r="U346" t="str">
        <f t="shared" si="15"/>
        <v>A0F928</v>
      </c>
      <c r="V346">
        <v>0</v>
      </c>
      <c r="W346">
        <v>0</v>
      </c>
      <c r="X346">
        <v>2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1</v>
      </c>
      <c r="AI346" t="s">
        <v>295</v>
      </c>
      <c r="AJ346">
        <v>35.790709999999997</v>
      </c>
      <c r="AK346" t="s">
        <v>296</v>
      </c>
      <c r="AL346">
        <v>-83.974577999999994</v>
      </c>
      <c r="AM346">
        <v>25</v>
      </c>
      <c r="AN346">
        <v>1675</v>
      </c>
      <c r="AO346" t="s">
        <v>118</v>
      </c>
      <c r="AP346">
        <v>88</v>
      </c>
      <c r="AQ346">
        <v>108</v>
      </c>
      <c r="AR346">
        <v>256</v>
      </c>
      <c r="AZ346">
        <v>300</v>
      </c>
      <c r="BA346">
        <v>1</v>
      </c>
      <c r="BB346" t="str">
        <f t="shared" si="17"/>
        <v xml:space="preserve">N162AM  </v>
      </c>
      <c r="BC346">
        <v>1</v>
      </c>
      <c r="BE346">
        <v>0</v>
      </c>
      <c r="BF346">
        <v>0</v>
      </c>
      <c r="BG346">
        <v>0</v>
      </c>
      <c r="BH346">
        <v>1950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>"14:43:59.681"</f>
        <v>14:43:59.681</v>
      </c>
      <c r="CJ346">
        <v>3</v>
      </c>
      <c r="CK346">
        <v>2</v>
      </c>
      <c r="CL346">
        <v>0</v>
      </c>
      <c r="CM346">
        <v>2</v>
      </c>
      <c r="CN346">
        <v>0</v>
      </c>
      <c r="CO346">
        <v>6</v>
      </c>
      <c r="CP346" t="s">
        <v>119</v>
      </c>
      <c r="CQ346">
        <v>232</v>
      </c>
      <c r="CR346">
        <v>1</v>
      </c>
      <c r="CW346">
        <v>14946348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1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"12/16/2021 14:43:59.912"</f>
        <v>12/16/2021 14:43:59.912</v>
      </c>
      <c r="C347" t="str">
        <f t="shared" si="16"/>
        <v>FFDFD3C0</v>
      </c>
      <c r="D347" t="s">
        <v>113</v>
      </c>
      <c r="E347">
        <v>8</v>
      </c>
      <c r="H347">
        <v>176</v>
      </c>
      <c r="I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"14:43:59.680"</f>
        <v>14:43:59.680</v>
      </c>
      <c r="T347" t="str">
        <f>"14:43:59.180"</f>
        <v>14:43:59.180</v>
      </c>
      <c r="U347" t="str">
        <f t="shared" si="15"/>
        <v>A0F928</v>
      </c>
      <c r="V347">
        <v>0</v>
      </c>
      <c r="W347">
        <v>0</v>
      </c>
      <c r="X347">
        <v>2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1</v>
      </c>
      <c r="AI347" t="s">
        <v>295</v>
      </c>
      <c r="AJ347">
        <v>35.790709999999997</v>
      </c>
      <c r="AK347" t="s">
        <v>296</v>
      </c>
      <c r="AL347">
        <v>-83.974577999999994</v>
      </c>
      <c r="AM347">
        <v>25</v>
      </c>
      <c r="AN347">
        <v>1675</v>
      </c>
      <c r="AO347" t="s">
        <v>118</v>
      </c>
      <c r="AP347">
        <v>88</v>
      </c>
      <c r="AQ347">
        <v>108</v>
      </c>
      <c r="AR347">
        <v>256</v>
      </c>
      <c r="AZ347">
        <v>300</v>
      </c>
      <c r="BA347">
        <v>1</v>
      </c>
      <c r="BB347" t="str">
        <f t="shared" si="17"/>
        <v xml:space="preserve">N162AM  </v>
      </c>
      <c r="BC347">
        <v>1</v>
      </c>
      <c r="BE347">
        <v>0</v>
      </c>
      <c r="BF347">
        <v>0</v>
      </c>
      <c r="BG347">
        <v>0</v>
      </c>
      <c r="BH347">
        <v>1950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>"14:43:59.681"</f>
        <v>14:43:59.681</v>
      </c>
      <c r="CJ347">
        <v>3</v>
      </c>
      <c r="CK347">
        <v>2</v>
      </c>
      <c r="CL347">
        <v>0</v>
      </c>
      <c r="CM347">
        <v>2</v>
      </c>
      <c r="CN347">
        <v>0</v>
      </c>
      <c r="CO347">
        <v>6</v>
      </c>
      <c r="CP347" t="s">
        <v>119</v>
      </c>
      <c r="CQ347">
        <v>232</v>
      </c>
      <c r="CR347">
        <v>1</v>
      </c>
      <c r="CW347">
        <v>14946348</v>
      </c>
      <c r="CY347">
        <v>1</v>
      </c>
      <c r="CZ347">
        <v>0</v>
      </c>
      <c r="DA347">
        <v>1</v>
      </c>
      <c r="DB347">
        <v>0</v>
      </c>
      <c r="DC347">
        <v>0</v>
      </c>
      <c r="DD347">
        <v>1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"12/16/2021 14:44:01.334"</f>
        <v>12/16/2021 14:44:01.334</v>
      </c>
      <c r="C348" t="str">
        <f t="shared" si="16"/>
        <v>FFDFD3C0</v>
      </c>
      <c r="D348" t="s">
        <v>124</v>
      </c>
      <c r="E348">
        <v>5</v>
      </c>
      <c r="F348">
        <v>1005</v>
      </c>
      <c r="G348" t="s">
        <v>114</v>
      </c>
      <c r="J348" t="s">
        <v>125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"14:44:01.141"</f>
        <v>14:44:01.141</v>
      </c>
      <c r="T348" t="str">
        <f>"14:44:00.641"</f>
        <v>14:44:00.641</v>
      </c>
      <c r="U348" t="str">
        <f t="shared" si="15"/>
        <v>A0F928</v>
      </c>
      <c r="V348">
        <v>0</v>
      </c>
      <c r="W348">
        <v>0</v>
      </c>
      <c r="X348">
        <v>2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1</v>
      </c>
      <c r="AI348" t="s">
        <v>297</v>
      </c>
      <c r="AJ348">
        <v>35.791440000000001</v>
      </c>
      <c r="AK348" t="s">
        <v>298</v>
      </c>
      <c r="AL348">
        <v>-83.973892000000006</v>
      </c>
      <c r="AM348">
        <v>25</v>
      </c>
      <c r="AN348">
        <v>1675</v>
      </c>
      <c r="AO348" t="s">
        <v>118</v>
      </c>
      <c r="AP348">
        <v>88</v>
      </c>
      <c r="AQ348">
        <v>108</v>
      </c>
      <c r="AR348">
        <v>192</v>
      </c>
      <c r="AZ348">
        <v>300</v>
      </c>
      <c r="BA348">
        <v>1</v>
      </c>
      <c r="BB348" t="str">
        <f t="shared" si="17"/>
        <v xml:space="preserve">N162AM  </v>
      </c>
      <c r="BC348">
        <v>1</v>
      </c>
      <c r="BE348">
        <v>0</v>
      </c>
      <c r="BF348">
        <v>0</v>
      </c>
      <c r="BG348">
        <v>0</v>
      </c>
      <c r="BH348">
        <v>1925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>"14:44:01.148"</f>
        <v>14:44:01.148</v>
      </c>
      <c r="CJ348">
        <v>3</v>
      </c>
      <c r="CK348">
        <v>2</v>
      </c>
      <c r="CL348">
        <v>0</v>
      </c>
      <c r="CM348">
        <v>2</v>
      </c>
      <c r="CN348">
        <v>0</v>
      </c>
      <c r="CO348">
        <v>6</v>
      </c>
      <c r="CP348" t="s">
        <v>119</v>
      </c>
      <c r="CQ348">
        <v>232</v>
      </c>
      <c r="CR348">
        <v>1</v>
      </c>
      <c r="CW348">
        <v>14948683</v>
      </c>
      <c r="CY348">
        <v>1</v>
      </c>
      <c r="CZ348">
        <v>0</v>
      </c>
      <c r="DA348">
        <v>0</v>
      </c>
      <c r="DB348">
        <v>0</v>
      </c>
      <c r="DC348">
        <v>0</v>
      </c>
      <c r="DD348">
        <v>1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"12/16/2021 14:44:01.334"</f>
        <v>12/16/2021 14:44:01.334</v>
      </c>
      <c r="C349" t="str">
        <f t="shared" si="16"/>
        <v>FFDFD3C0</v>
      </c>
      <c r="D349" t="s">
        <v>113</v>
      </c>
      <c r="E349">
        <v>8</v>
      </c>
      <c r="H349">
        <v>176</v>
      </c>
      <c r="I349" t="s">
        <v>114</v>
      </c>
      <c r="J349" t="s">
        <v>115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"14:44:01.141"</f>
        <v>14:44:01.141</v>
      </c>
      <c r="T349" t="str">
        <f>"14:44:00.641"</f>
        <v>14:44:00.641</v>
      </c>
      <c r="U349" t="str">
        <f t="shared" si="15"/>
        <v>A0F928</v>
      </c>
      <c r="V349">
        <v>0</v>
      </c>
      <c r="W349">
        <v>0</v>
      </c>
      <c r="X349">
        <v>2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1</v>
      </c>
      <c r="AI349" t="s">
        <v>297</v>
      </c>
      <c r="AJ349">
        <v>35.791440000000001</v>
      </c>
      <c r="AK349" t="s">
        <v>298</v>
      </c>
      <c r="AL349">
        <v>-83.973892000000006</v>
      </c>
      <c r="AM349">
        <v>25</v>
      </c>
      <c r="AN349">
        <v>1675</v>
      </c>
      <c r="AO349" t="s">
        <v>118</v>
      </c>
      <c r="AP349">
        <v>88</v>
      </c>
      <c r="AQ349">
        <v>108</v>
      </c>
      <c r="AR349">
        <v>192</v>
      </c>
      <c r="AZ349">
        <v>300</v>
      </c>
      <c r="BA349">
        <v>1</v>
      </c>
      <c r="BB349" t="str">
        <f t="shared" si="17"/>
        <v xml:space="preserve">N162AM  </v>
      </c>
      <c r="BC349">
        <v>1</v>
      </c>
      <c r="BE349">
        <v>0</v>
      </c>
      <c r="BF349">
        <v>0</v>
      </c>
      <c r="BG349">
        <v>0</v>
      </c>
      <c r="BH349">
        <v>1925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>"14:44:01.148"</f>
        <v>14:44:01.148</v>
      </c>
      <c r="CJ349">
        <v>3</v>
      </c>
      <c r="CK349">
        <v>2</v>
      </c>
      <c r="CL349">
        <v>0</v>
      </c>
      <c r="CM349">
        <v>2</v>
      </c>
      <c r="CN349">
        <v>0</v>
      </c>
      <c r="CO349">
        <v>6</v>
      </c>
      <c r="CP349" t="s">
        <v>119</v>
      </c>
      <c r="CQ349">
        <v>232</v>
      </c>
      <c r="CR349">
        <v>1</v>
      </c>
      <c r="CW349">
        <v>14948683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1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"12/16/2021 14:44:01.349"</f>
        <v>12/16/2021 14:44:01.349</v>
      </c>
      <c r="C350" t="str">
        <f t="shared" si="16"/>
        <v>FFDFD3C0</v>
      </c>
      <c r="D350" t="s">
        <v>124</v>
      </c>
      <c r="E350">
        <v>10</v>
      </c>
      <c r="F350">
        <v>1010</v>
      </c>
      <c r="G350" t="s">
        <v>130</v>
      </c>
      <c r="J350" t="s">
        <v>125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"14:44:01.141"</f>
        <v>14:44:01.141</v>
      </c>
      <c r="T350" t="str">
        <f>"14:44:00.641"</f>
        <v>14:44:00.641</v>
      </c>
      <c r="U350" t="str">
        <f t="shared" si="15"/>
        <v>A0F928</v>
      </c>
      <c r="V350">
        <v>0</v>
      </c>
      <c r="W350">
        <v>0</v>
      </c>
      <c r="X350">
        <v>2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1</v>
      </c>
      <c r="AI350" t="s">
        <v>297</v>
      </c>
      <c r="AJ350">
        <v>35.791440000000001</v>
      </c>
      <c r="AK350" t="s">
        <v>298</v>
      </c>
      <c r="AL350">
        <v>-83.973892000000006</v>
      </c>
      <c r="AM350">
        <v>25</v>
      </c>
      <c r="AN350">
        <v>1675</v>
      </c>
      <c r="AO350" t="s">
        <v>118</v>
      </c>
      <c r="AP350">
        <v>88</v>
      </c>
      <c r="AQ350">
        <v>108</v>
      </c>
      <c r="AR350">
        <v>192</v>
      </c>
      <c r="AZ350">
        <v>300</v>
      </c>
      <c r="BA350">
        <v>1</v>
      </c>
      <c r="BB350" t="str">
        <f t="shared" si="17"/>
        <v xml:space="preserve">N162AM  </v>
      </c>
      <c r="BC350">
        <v>1</v>
      </c>
      <c r="BE350">
        <v>0</v>
      </c>
      <c r="BF350">
        <v>0</v>
      </c>
      <c r="BG350">
        <v>0</v>
      </c>
      <c r="BH350">
        <v>1925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>"14:44:01.148"</f>
        <v>14:44:01.148</v>
      </c>
      <c r="CJ350">
        <v>3</v>
      </c>
      <c r="CK350">
        <v>2</v>
      </c>
      <c r="CL350">
        <v>0</v>
      </c>
      <c r="CM350">
        <v>2</v>
      </c>
      <c r="CN350">
        <v>0</v>
      </c>
      <c r="CO350">
        <v>6</v>
      </c>
      <c r="CP350" t="s">
        <v>119</v>
      </c>
      <c r="CQ350">
        <v>232</v>
      </c>
      <c r="CR350">
        <v>1</v>
      </c>
      <c r="CW350">
        <v>14948683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1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"12/16/2021 14:44:01.365"</f>
        <v>12/16/2021 14:44:01.365</v>
      </c>
      <c r="C351" t="str">
        <f t="shared" si="16"/>
        <v>FFDFD3C0</v>
      </c>
      <c r="D351" t="s">
        <v>133</v>
      </c>
      <c r="E351">
        <v>44</v>
      </c>
      <c r="H351">
        <v>131</v>
      </c>
      <c r="I351" t="s">
        <v>134</v>
      </c>
      <c r="J351" t="s">
        <v>135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"14:44:01.141"</f>
        <v>14:44:01.141</v>
      </c>
      <c r="T351" t="str">
        <f>"14:44:00.641"</f>
        <v>14:44:00.641</v>
      </c>
      <c r="U351" t="str">
        <f t="shared" si="15"/>
        <v>A0F928</v>
      </c>
      <c r="V351">
        <v>0</v>
      </c>
      <c r="W351">
        <v>0</v>
      </c>
      <c r="X351">
        <v>2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1</v>
      </c>
      <c r="AI351" t="s">
        <v>297</v>
      </c>
      <c r="AJ351">
        <v>35.791440000000001</v>
      </c>
      <c r="AK351" t="s">
        <v>298</v>
      </c>
      <c r="AL351">
        <v>-83.973892000000006</v>
      </c>
      <c r="AM351">
        <v>25</v>
      </c>
      <c r="AN351">
        <v>1675</v>
      </c>
      <c r="AO351" t="s">
        <v>118</v>
      </c>
      <c r="AP351">
        <v>88</v>
      </c>
      <c r="AQ351">
        <v>108</v>
      </c>
      <c r="AR351">
        <v>192</v>
      </c>
      <c r="AZ351">
        <v>300</v>
      </c>
      <c r="BA351">
        <v>1</v>
      </c>
      <c r="BB351" t="str">
        <f t="shared" si="17"/>
        <v xml:space="preserve">N162AM  </v>
      </c>
      <c r="BC351">
        <v>1</v>
      </c>
      <c r="BE351">
        <v>0</v>
      </c>
      <c r="BF351">
        <v>0</v>
      </c>
      <c r="BG351">
        <v>0</v>
      </c>
      <c r="BH351">
        <v>1925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>"14:44:01.148"</f>
        <v>14:44:01.148</v>
      </c>
      <c r="CJ351">
        <v>3</v>
      </c>
      <c r="CK351">
        <v>2</v>
      </c>
      <c r="CL351">
        <v>0</v>
      </c>
      <c r="CM351">
        <v>2</v>
      </c>
      <c r="CN351">
        <v>0</v>
      </c>
      <c r="CO351">
        <v>6</v>
      </c>
      <c r="CP351" t="s">
        <v>119</v>
      </c>
      <c r="CQ351">
        <v>232</v>
      </c>
      <c r="CR351">
        <v>1</v>
      </c>
      <c r="CW351">
        <v>14948683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1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"12/16/2021 14:44:02.288"</f>
        <v>12/16/2021 14:44:02.288</v>
      </c>
      <c r="C352" t="str">
        <f t="shared" si="16"/>
        <v>FFDFD3C0</v>
      </c>
      <c r="D352" t="s">
        <v>124</v>
      </c>
      <c r="E352">
        <v>5</v>
      </c>
      <c r="F352">
        <v>1005</v>
      </c>
      <c r="G352" t="s">
        <v>114</v>
      </c>
      <c r="J352" t="s">
        <v>125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"14:44:02.063"</f>
        <v>14:44:02.063</v>
      </c>
      <c r="T352" t="str">
        <f>"14:44:01.663"</f>
        <v>14:44:01.663</v>
      </c>
      <c r="U352" t="str">
        <f t="shared" si="15"/>
        <v>A0F928</v>
      </c>
      <c r="V352">
        <v>0</v>
      </c>
      <c r="W352">
        <v>0</v>
      </c>
      <c r="X352">
        <v>2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1</v>
      </c>
      <c r="AI352" t="s">
        <v>299</v>
      </c>
      <c r="AJ352">
        <v>35.791912000000004</v>
      </c>
      <c r="AK352" t="s">
        <v>300</v>
      </c>
      <c r="AL352">
        <v>-83.973420000000004</v>
      </c>
      <c r="AM352">
        <v>25</v>
      </c>
      <c r="AN352">
        <v>1675</v>
      </c>
      <c r="AO352" t="s">
        <v>118</v>
      </c>
      <c r="AP352">
        <v>88</v>
      </c>
      <c r="AQ352">
        <v>108</v>
      </c>
      <c r="AR352">
        <v>192</v>
      </c>
      <c r="AZ352">
        <v>300</v>
      </c>
      <c r="BA352">
        <v>1</v>
      </c>
      <c r="BB352" t="str">
        <f t="shared" si="17"/>
        <v xml:space="preserve">N162AM  </v>
      </c>
      <c r="BC352">
        <v>1</v>
      </c>
      <c r="BE352">
        <v>0</v>
      </c>
      <c r="BF352">
        <v>0</v>
      </c>
      <c r="BG352">
        <v>0</v>
      </c>
      <c r="BH352">
        <v>1900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"14:44:02.066"</f>
        <v>14:44:02.066</v>
      </c>
      <c r="CJ352">
        <v>3</v>
      </c>
      <c r="CK352">
        <v>2</v>
      </c>
      <c r="CL352">
        <v>0</v>
      </c>
      <c r="CM352">
        <v>2</v>
      </c>
      <c r="CN352">
        <v>0</v>
      </c>
      <c r="CO352">
        <v>1</v>
      </c>
      <c r="CP352" t="s">
        <v>119</v>
      </c>
      <c r="CQ352">
        <v>223</v>
      </c>
      <c r="CR352">
        <v>2</v>
      </c>
      <c r="CW352">
        <v>15013337</v>
      </c>
      <c r="CY352">
        <v>1</v>
      </c>
      <c r="CZ352">
        <v>0</v>
      </c>
      <c r="DA352">
        <v>0</v>
      </c>
      <c r="DB352">
        <v>0</v>
      </c>
      <c r="DC352">
        <v>0</v>
      </c>
      <c r="DD352">
        <v>1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"12/16/2021 14:44:02.288"</f>
        <v>12/16/2021 14:44:02.288</v>
      </c>
      <c r="C353" t="str">
        <f t="shared" si="16"/>
        <v>FFDFD3C0</v>
      </c>
      <c r="D353" t="s">
        <v>113</v>
      </c>
      <c r="E353">
        <v>8</v>
      </c>
      <c r="H353">
        <v>176</v>
      </c>
      <c r="I353" t="s">
        <v>114</v>
      </c>
      <c r="J353" t="s">
        <v>115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"14:44:02.063"</f>
        <v>14:44:02.063</v>
      </c>
      <c r="T353" t="str">
        <f>"14:44:01.663"</f>
        <v>14:44:01.663</v>
      </c>
      <c r="U353" t="str">
        <f t="shared" si="15"/>
        <v>A0F928</v>
      </c>
      <c r="V353">
        <v>0</v>
      </c>
      <c r="W353">
        <v>0</v>
      </c>
      <c r="X353">
        <v>2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1</v>
      </c>
      <c r="AI353" t="s">
        <v>299</v>
      </c>
      <c r="AJ353">
        <v>35.791912000000004</v>
      </c>
      <c r="AK353" t="s">
        <v>300</v>
      </c>
      <c r="AL353">
        <v>-83.973420000000004</v>
      </c>
      <c r="AM353">
        <v>25</v>
      </c>
      <c r="AN353">
        <v>1675</v>
      </c>
      <c r="AO353" t="s">
        <v>118</v>
      </c>
      <c r="AP353">
        <v>88</v>
      </c>
      <c r="AQ353">
        <v>108</v>
      </c>
      <c r="AR353">
        <v>192</v>
      </c>
      <c r="AZ353">
        <v>300</v>
      </c>
      <c r="BA353">
        <v>1</v>
      </c>
      <c r="BB353" t="str">
        <f t="shared" si="17"/>
        <v xml:space="preserve">N162AM  </v>
      </c>
      <c r="BC353">
        <v>1</v>
      </c>
      <c r="BE353">
        <v>0</v>
      </c>
      <c r="BF353">
        <v>0</v>
      </c>
      <c r="BG353">
        <v>0</v>
      </c>
      <c r="BH353">
        <v>1900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"14:44:02.066"</f>
        <v>14:44:02.066</v>
      </c>
      <c r="CJ353">
        <v>3</v>
      </c>
      <c r="CK353">
        <v>2</v>
      </c>
      <c r="CL353">
        <v>0</v>
      </c>
      <c r="CM353">
        <v>2</v>
      </c>
      <c r="CN353">
        <v>0</v>
      </c>
      <c r="CO353">
        <v>1</v>
      </c>
      <c r="CP353" t="s">
        <v>119</v>
      </c>
      <c r="CQ353">
        <v>223</v>
      </c>
      <c r="CR353">
        <v>2</v>
      </c>
      <c r="CW353">
        <v>15013337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1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"12/16/2021 14:44:02.288"</f>
        <v>12/16/2021 14:44:02.288</v>
      </c>
      <c r="C354" t="str">
        <f t="shared" si="16"/>
        <v>FFDFD3C0</v>
      </c>
      <c r="D354" t="s">
        <v>124</v>
      </c>
      <c r="E354">
        <v>10</v>
      </c>
      <c r="F354">
        <v>1010</v>
      </c>
      <c r="G354" t="s">
        <v>130</v>
      </c>
      <c r="J354" t="s">
        <v>125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"14:44:02.063"</f>
        <v>14:44:02.063</v>
      </c>
      <c r="T354" t="str">
        <f>"14:44:01.663"</f>
        <v>14:44:01.663</v>
      </c>
      <c r="U354" t="str">
        <f t="shared" si="15"/>
        <v>A0F928</v>
      </c>
      <c r="V354">
        <v>0</v>
      </c>
      <c r="W354">
        <v>0</v>
      </c>
      <c r="X354">
        <v>2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1</v>
      </c>
      <c r="AI354" t="s">
        <v>299</v>
      </c>
      <c r="AJ354">
        <v>35.791912000000004</v>
      </c>
      <c r="AK354" t="s">
        <v>300</v>
      </c>
      <c r="AL354">
        <v>-83.973420000000004</v>
      </c>
      <c r="AM354">
        <v>25</v>
      </c>
      <c r="AN354">
        <v>1675</v>
      </c>
      <c r="AO354" t="s">
        <v>118</v>
      </c>
      <c r="AP354">
        <v>88</v>
      </c>
      <c r="AQ354">
        <v>108</v>
      </c>
      <c r="AR354">
        <v>192</v>
      </c>
      <c r="AZ354">
        <v>300</v>
      </c>
      <c r="BA354">
        <v>1</v>
      </c>
      <c r="BB354" t="str">
        <f t="shared" si="17"/>
        <v xml:space="preserve">N162AM  </v>
      </c>
      <c r="BC354">
        <v>1</v>
      </c>
      <c r="BE354">
        <v>0</v>
      </c>
      <c r="BF354">
        <v>0</v>
      </c>
      <c r="BG354">
        <v>0</v>
      </c>
      <c r="BH354">
        <v>1900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"14:44:02.066"</f>
        <v>14:44:02.066</v>
      </c>
      <c r="CJ354">
        <v>3</v>
      </c>
      <c r="CK354">
        <v>2</v>
      </c>
      <c r="CL354">
        <v>0</v>
      </c>
      <c r="CM354">
        <v>2</v>
      </c>
      <c r="CN354">
        <v>0</v>
      </c>
      <c r="CO354">
        <v>1</v>
      </c>
      <c r="CP354" t="s">
        <v>119</v>
      </c>
      <c r="CQ354">
        <v>223</v>
      </c>
      <c r="CR354">
        <v>2</v>
      </c>
      <c r="CW354">
        <v>15013337</v>
      </c>
      <c r="CY354">
        <v>1</v>
      </c>
      <c r="CZ354">
        <v>0</v>
      </c>
      <c r="DA354">
        <v>1</v>
      </c>
      <c r="DB354">
        <v>0</v>
      </c>
      <c r="DC354">
        <v>0</v>
      </c>
      <c r="DD354">
        <v>1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"12/16/2021 14:44:03.475"</f>
        <v>12/16/2021 14:44:03.475</v>
      </c>
      <c r="C355" t="str">
        <f t="shared" si="16"/>
        <v>FFDFD3C0</v>
      </c>
      <c r="D355" t="s">
        <v>124</v>
      </c>
      <c r="E355">
        <v>5</v>
      </c>
      <c r="F355">
        <v>1005</v>
      </c>
      <c r="G355" t="s">
        <v>114</v>
      </c>
      <c r="J355" t="s">
        <v>125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"14:44:03.203"</f>
        <v>14:44:03.203</v>
      </c>
      <c r="T355" t="str">
        <f>"14:44:01.603"</f>
        <v>14:44:01.603</v>
      </c>
      <c r="U355" t="str">
        <f t="shared" si="15"/>
        <v>A0F928</v>
      </c>
      <c r="V355">
        <v>0</v>
      </c>
      <c r="W355">
        <v>0</v>
      </c>
      <c r="X355">
        <v>2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1</v>
      </c>
      <c r="AI355" t="s">
        <v>301</v>
      </c>
      <c r="AJ355">
        <v>35.792448999999998</v>
      </c>
      <c r="AK355" t="s">
        <v>302</v>
      </c>
      <c r="AL355">
        <v>-83.972862000000006</v>
      </c>
      <c r="AM355">
        <v>25</v>
      </c>
      <c r="AN355">
        <v>1700</v>
      </c>
      <c r="AO355" t="s">
        <v>118</v>
      </c>
      <c r="AP355">
        <v>88</v>
      </c>
      <c r="AQ355">
        <v>108</v>
      </c>
      <c r="AR355">
        <v>192</v>
      </c>
      <c r="AZ355">
        <v>300</v>
      </c>
      <c r="BA355">
        <v>1</v>
      </c>
      <c r="BB355" t="str">
        <f t="shared" si="17"/>
        <v xml:space="preserve">N162AM  </v>
      </c>
      <c r="BC355">
        <v>1</v>
      </c>
      <c r="BE355">
        <v>0</v>
      </c>
      <c r="BF355">
        <v>0</v>
      </c>
      <c r="BG355">
        <v>0</v>
      </c>
      <c r="BH355">
        <v>1900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>"14:44:03.209"</f>
        <v>14:44:03.209</v>
      </c>
      <c r="CJ355">
        <v>3</v>
      </c>
      <c r="CK355">
        <v>2</v>
      </c>
      <c r="CL355">
        <v>0</v>
      </c>
      <c r="CM355">
        <v>2</v>
      </c>
      <c r="CN355">
        <v>0</v>
      </c>
      <c r="CO355">
        <v>1</v>
      </c>
      <c r="CP355" t="s">
        <v>119</v>
      </c>
      <c r="CQ355">
        <v>223</v>
      </c>
      <c r="CR355">
        <v>2</v>
      </c>
      <c r="CW355">
        <v>15015462</v>
      </c>
      <c r="CY355">
        <v>1</v>
      </c>
      <c r="CZ355">
        <v>0</v>
      </c>
      <c r="DA355">
        <v>0</v>
      </c>
      <c r="DB355">
        <v>0</v>
      </c>
      <c r="DC355">
        <v>0</v>
      </c>
      <c r="DD355">
        <v>1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"12/16/2021 14:44:03.475"</f>
        <v>12/16/2021 14:44:03.475</v>
      </c>
      <c r="C356" t="str">
        <f t="shared" si="16"/>
        <v>FFDFD3C0</v>
      </c>
      <c r="D356" t="s">
        <v>124</v>
      </c>
      <c r="E356">
        <v>10</v>
      </c>
      <c r="F356">
        <v>1010</v>
      </c>
      <c r="G356" t="s">
        <v>130</v>
      </c>
      <c r="J356" t="s">
        <v>125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"14:44:03.203"</f>
        <v>14:44:03.203</v>
      </c>
      <c r="T356" t="str">
        <f>"14:44:01.603"</f>
        <v>14:44:01.603</v>
      </c>
      <c r="U356" t="str">
        <f t="shared" si="15"/>
        <v>A0F928</v>
      </c>
      <c r="V356">
        <v>0</v>
      </c>
      <c r="W356">
        <v>0</v>
      </c>
      <c r="X356">
        <v>2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1</v>
      </c>
      <c r="AI356" t="s">
        <v>301</v>
      </c>
      <c r="AJ356">
        <v>35.792448999999998</v>
      </c>
      <c r="AK356" t="s">
        <v>302</v>
      </c>
      <c r="AL356">
        <v>-83.972862000000006</v>
      </c>
      <c r="AM356">
        <v>25</v>
      </c>
      <c r="AN356">
        <v>1700</v>
      </c>
      <c r="AO356" t="s">
        <v>118</v>
      </c>
      <c r="AP356">
        <v>88</v>
      </c>
      <c r="AQ356">
        <v>108</v>
      </c>
      <c r="AR356">
        <v>192</v>
      </c>
      <c r="AZ356">
        <v>300</v>
      </c>
      <c r="BA356">
        <v>1</v>
      </c>
      <c r="BB356" t="str">
        <f t="shared" si="17"/>
        <v xml:space="preserve">N162AM  </v>
      </c>
      <c r="BC356">
        <v>1</v>
      </c>
      <c r="BE356">
        <v>0</v>
      </c>
      <c r="BF356">
        <v>0</v>
      </c>
      <c r="BG356">
        <v>0</v>
      </c>
      <c r="BH356">
        <v>1900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>"14:44:03.209"</f>
        <v>14:44:03.209</v>
      </c>
      <c r="CJ356">
        <v>3</v>
      </c>
      <c r="CK356">
        <v>2</v>
      </c>
      <c r="CL356">
        <v>0</v>
      </c>
      <c r="CM356">
        <v>2</v>
      </c>
      <c r="CN356">
        <v>0</v>
      </c>
      <c r="CO356">
        <v>1</v>
      </c>
      <c r="CP356" t="s">
        <v>119</v>
      </c>
      <c r="CQ356">
        <v>223</v>
      </c>
      <c r="CR356">
        <v>2</v>
      </c>
      <c r="CW356">
        <v>15015462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1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"12/16/2021 14:44:03.475"</f>
        <v>12/16/2021 14:44:03.475</v>
      </c>
      <c r="C357" t="str">
        <f t="shared" si="16"/>
        <v>FFDFD3C0</v>
      </c>
      <c r="D357" t="s">
        <v>113</v>
      </c>
      <c r="E357">
        <v>8</v>
      </c>
      <c r="H357">
        <v>176</v>
      </c>
      <c r="I357" t="s">
        <v>114</v>
      </c>
      <c r="J357" t="s">
        <v>115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"14:44:03.203"</f>
        <v>14:44:03.203</v>
      </c>
      <c r="T357" t="str">
        <f>"14:44:01.603"</f>
        <v>14:44:01.603</v>
      </c>
      <c r="U357" t="str">
        <f t="shared" si="15"/>
        <v>A0F928</v>
      </c>
      <c r="V357">
        <v>0</v>
      </c>
      <c r="W357">
        <v>0</v>
      </c>
      <c r="X357">
        <v>2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1</v>
      </c>
      <c r="AI357" t="s">
        <v>301</v>
      </c>
      <c r="AJ357">
        <v>35.792448999999998</v>
      </c>
      <c r="AK357" t="s">
        <v>302</v>
      </c>
      <c r="AL357">
        <v>-83.972862000000006</v>
      </c>
      <c r="AM357">
        <v>25</v>
      </c>
      <c r="AN357">
        <v>1700</v>
      </c>
      <c r="AO357" t="s">
        <v>118</v>
      </c>
      <c r="AP357">
        <v>88</v>
      </c>
      <c r="AQ357">
        <v>108</v>
      </c>
      <c r="AR357">
        <v>192</v>
      </c>
      <c r="AZ357">
        <v>300</v>
      </c>
      <c r="BA357">
        <v>1</v>
      </c>
      <c r="BB357" t="str">
        <f t="shared" si="17"/>
        <v xml:space="preserve">N162AM  </v>
      </c>
      <c r="BC357">
        <v>1</v>
      </c>
      <c r="BE357">
        <v>0</v>
      </c>
      <c r="BF357">
        <v>0</v>
      </c>
      <c r="BG357">
        <v>0</v>
      </c>
      <c r="BH357">
        <v>1900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>"14:44:03.209"</f>
        <v>14:44:03.209</v>
      </c>
      <c r="CJ357">
        <v>3</v>
      </c>
      <c r="CK357">
        <v>2</v>
      </c>
      <c r="CL357">
        <v>0</v>
      </c>
      <c r="CM357">
        <v>2</v>
      </c>
      <c r="CN357">
        <v>0</v>
      </c>
      <c r="CO357">
        <v>1</v>
      </c>
      <c r="CP357" t="s">
        <v>119</v>
      </c>
      <c r="CQ357">
        <v>223</v>
      </c>
      <c r="CR357">
        <v>2</v>
      </c>
      <c r="CW357">
        <v>15015462</v>
      </c>
      <c r="CY357">
        <v>1</v>
      </c>
      <c r="CZ357">
        <v>0</v>
      </c>
      <c r="DA357">
        <v>1</v>
      </c>
      <c r="DB357">
        <v>0</v>
      </c>
      <c r="DC357">
        <v>0</v>
      </c>
      <c r="DD357">
        <v>1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"12/16/2021 14:44:04.414"</f>
        <v>12/16/2021 14:44:04.414</v>
      </c>
      <c r="C358" t="str">
        <f t="shared" si="16"/>
        <v>FFDFD3C0</v>
      </c>
      <c r="D358" t="s">
        <v>113</v>
      </c>
      <c r="E358">
        <v>8</v>
      </c>
      <c r="H358">
        <v>176</v>
      </c>
      <c r="I358" t="s">
        <v>114</v>
      </c>
      <c r="J358" t="s">
        <v>115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"14:44:04.234"</f>
        <v>14:44:04.234</v>
      </c>
      <c r="T358" t="str">
        <f>"14:44:03.734"</f>
        <v>14:44:03.734</v>
      </c>
      <c r="U358" t="str">
        <f t="shared" si="15"/>
        <v>A0F928</v>
      </c>
      <c r="V358">
        <v>0</v>
      </c>
      <c r="W358">
        <v>0</v>
      </c>
      <c r="X358">
        <v>2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1</v>
      </c>
      <c r="AI358" t="s">
        <v>303</v>
      </c>
      <c r="AJ358">
        <v>35.792963999999998</v>
      </c>
      <c r="AK358" t="s">
        <v>304</v>
      </c>
      <c r="AL358">
        <v>-83.972390000000004</v>
      </c>
      <c r="AM358">
        <v>25</v>
      </c>
      <c r="AN358">
        <v>1700</v>
      </c>
      <c r="AO358" t="s">
        <v>118</v>
      </c>
      <c r="AP358">
        <v>86</v>
      </c>
      <c r="AQ358">
        <v>107</v>
      </c>
      <c r="AR358">
        <v>320</v>
      </c>
      <c r="AZ358">
        <v>300</v>
      </c>
      <c r="BA358">
        <v>1</v>
      </c>
      <c r="BB358" t="str">
        <f t="shared" si="17"/>
        <v xml:space="preserve">N162AM  </v>
      </c>
      <c r="BC358">
        <v>1</v>
      </c>
      <c r="BE358">
        <v>0</v>
      </c>
      <c r="BF358">
        <v>0</v>
      </c>
      <c r="BG358">
        <v>0</v>
      </c>
      <c r="BH358">
        <v>1900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>"14:44:04.241"</f>
        <v>14:44:04.241</v>
      </c>
      <c r="CJ358">
        <v>3</v>
      </c>
      <c r="CK358">
        <v>2</v>
      </c>
      <c r="CL358">
        <v>0</v>
      </c>
      <c r="CM358">
        <v>2</v>
      </c>
      <c r="CN358">
        <v>0</v>
      </c>
      <c r="CO358">
        <v>1</v>
      </c>
      <c r="CP358" t="s">
        <v>119</v>
      </c>
      <c r="CQ358">
        <v>216</v>
      </c>
      <c r="CR358">
        <v>0</v>
      </c>
      <c r="CW358">
        <v>426473</v>
      </c>
      <c r="CY358">
        <v>1</v>
      </c>
      <c r="CZ358">
        <v>0</v>
      </c>
      <c r="DA358">
        <v>0</v>
      </c>
      <c r="DB358">
        <v>0</v>
      </c>
      <c r="DC358">
        <v>0</v>
      </c>
      <c r="DD358">
        <v>1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"12/16/2021 14:44:04.477"</f>
        <v>12/16/2021 14:44:04.477</v>
      </c>
      <c r="C359" t="str">
        <f t="shared" si="16"/>
        <v>FFDFD3C0</v>
      </c>
      <c r="D359" t="s">
        <v>133</v>
      </c>
      <c r="E359">
        <v>44</v>
      </c>
      <c r="H359">
        <v>131</v>
      </c>
      <c r="I359" t="s">
        <v>134</v>
      </c>
      <c r="J359" t="s">
        <v>135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"14:44:04.234"</f>
        <v>14:44:04.234</v>
      </c>
      <c r="T359" t="str">
        <f>"14:44:03.734"</f>
        <v>14:44:03.734</v>
      </c>
      <c r="U359" t="str">
        <f t="shared" si="15"/>
        <v>A0F928</v>
      </c>
      <c r="V359">
        <v>0</v>
      </c>
      <c r="W359">
        <v>0</v>
      </c>
      <c r="X359">
        <v>2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1</v>
      </c>
      <c r="AI359" t="s">
        <v>303</v>
      </c>
      <c r="AJ359">
        <v>35.792963999999998</v>
      </c>
      <c r="AK359" t="s">
        <v>304</v>
      </c>
      <c r="AL359">
        <v>-83.972390000000004</v>
      </c>
      <c r="AM359">
        <v>25</v>
      </c>
      <c r="AN359">
        <v>1700</v>
      </c>
      <c r="AO359" t="s">
        <v>118</v>
      </c>
      <c r="AP359">
        <v>86</v>
      </c>
      <c r="AQ359">
        <v>107</v>
      </c>
      <c r="AR359">
        <v>320</v>
      </c>
      <c r="AZ359">
        <v>300</v>
      </c>
      <c r="BA359">
        <v>1</v>
      </c>
      <c r="BB359" t="str">
        <f t="shared" si="17"/>
        <v xml:space="preserve">N162AM  </v>
      </c>
      <c r="BC359">
        <v>1</v>
      </c>
      <c r="BE359">
        <v>0</v>
      </c>
      <c r="BF359">
        <v>0</v>
      </c>
      <c r="BG359">
        <v>0</v>
      </c>
      <c r="BH359">
        <v>1900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>"14:44:04.241"</f>
        <v>14:44:04.241</v>
      </c>
      <c r="CJ359">
        <v>3</v>
      </c>
      <c r="CK359">
        <v>2</v>
      </c>
      <c r="CL359">
        <v>0</v>
      </c>
      <c r="CM359">
        <v>2</v>
      </c>
      <c r="CN359">
        <v>0</v>
      </c>
      <c r="CO359">
        <v>1</v>
      </c>
      <c r="CP359" t="s">
        <v>119</v>
      </c>
      <c r="CQ359">
        <v>216</v>
      </c>
      <c r="CR359">
        <v>0</v>
      </c>
      <c r="CW359">
        <v>426473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1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"12/16/2021 14:44:04.477"</f>
        <v>12/16/2021 14:44:04.477</v>
      </c>
      <c r="C360" t="str">
        <f t="shared" si="16"/>
        <v>FFDFD3C0</v>
      </c>
      <c r="D360" t="s">
        <v>124</v>
      </c>
      <c r="E360">
        <v>10</v>
      </c>
      <c r="F360">
        <v>1010</v>
      </c>
      <c r="G360" t="s">
        <v>130</v>
      </c>
      <c r="J360" t="s">
        <v>125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"14:44:04.234"</f>
        <v>14:44:04.234</v>
      </c>
      <c r="T360" t="str">
        <f>"14:44:03.734"</f>
        <v>14:44:03.734</v>
      </c>
      <c r="U360" t="str">
        <f t="shared" si="15"/>
        <v>A0F928</v>
      </c>
      <c r="V360">
        <v>0</v>
      </c>
      <c r="W360">
        <v>0</v>
      </c>
      <c r="X360">
        <v>2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1</v>
      </c>
      <c r="AI360" t="s">
        <v>303</v>
      </c>
      <c r="AJ360">
        <v>35.792963999999998</v>
      </c>
      <c r="AK360" t="s">
        <v>304</v>
      </c>
      <c r="AL360">
        <v>-83.972390000000004</v>
      </c>
      <c r="AM360">
        <v>25</v>
      </c>
      <c r="AN360">
        <v>1700</v>
      </c>
      <c r="AO360" t="s">
        <v>118</v>
      </c>
      <c r="AP360">
        <v>86</v>
      </c>
      <c r="AQ360">
        <v>107</v>
      </c>
      <c r="AR360">
        <v>320</v>
      </c>
      <c r="AZ360">
        <v>300</v>
      </c>
      <c r="BA360">
        <v>1</v>
      </c>
      <c r="BB360" t="str">
        <f t="shared" si="17"/>
        <v xml:space="preserve">N162AM  </v>
      </c>
      <c r="BC360">
        <v>1</v>
      </c>
      <c r="BE360">
        <v>0</v>
      </c>
      <c r="BF360">
        <v>0</v>
      </c>
      <c r="BG360">
        <v>0</v>
      </c>
      <c r="BH360">
        <v>1900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>"14:44:04.241"</f>
        <v>14:44:04.241</v>
      </c>
      <c r="CJ360">
        <v>3</v>
      </c>
      <c r="CK360">
        <v>2</v>
      </c>
      <c r="CL360">
        <v>0</v>
      </c>
      <c r="CM360">
        <v>2</v>
      </c>
      <c r="CN360">
        <v>0</v>
      </c>
      <c r="CO360">
        <v>1</v>
      </c>
      <c r="CP360" t="s">
        <v>119</v>
      </c>
      <c r="CQ360">
        <v>216</v>
      </c>
      <c r="CR360">
        <v>0</v>
      </c>
      <c r="CW360">
        <v>426473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1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"12/16/2021 14:44:04.477"</f>
        <v>12/16/2021 14:44:04.477</v>
      </c>
      <c r="C361" t="str">
        <f t="shared" si="16"/>
        <v>FFDFD3C0</v>
      </c>
      <c r="D361" t="s">
        <v>124</v>
      </c>
      <c r="E361">
        <v>5</v>
      </c>
      <c r="F361">
        <v>1005</v>
      </c>
      <c r="G361" t="s">
        <v>114</v>
      </c>
      <c r="J361" t="s">
        <v>125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"14:44:04.234"</f>
        <v>14:44:04.234</v>
      </c>
      <c r="T361" t="str">
        <f>"14:44:03.734"</f>
        <v>14:44:03.734</v>
      </c>
      <c r="U361" t="str">
        <f t="shared" si="15"/>
        <v>A0F928</v>
      </c>
      <c r="V361">
        <v>0</v>
      </c>
      <c r="W361">
        <v>0</v>
      </c>
      <c r="X361">
        <v>2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1</v>
      </c>
      <c r="AI361" t="s">
        <v>303</v>
      </c>
      <c r="AJ361">
        <v>35.792963999999998</v>
      </c>
      <c r="AK361" t="s">
        <v>304</v>
      </c>
      <c r="AL361">
        <v>-83.972390000000004</v>
      </c>
      <c r="AM361">
        <v>25</v>
      </c>
      <c r="AN361">
        <v>1700</v>
      </c>
      <c r="AO361" t="s">
        <v>118</v>
      </c>
      <c r="AP361">
        <v>86</v>
      </c>
      <c r="AQ361">
        <v>107</v>
      </c>
      <c r="AR361">
        <v>320</v>
      </c>
      <c r="AZ361">
        <v>300</v>
      </c>
      <c r="BA361">
        <v>1</v>
      </c>
      <c r="BB361" t="str">
        <f t="shared" si="17"/>
        <v xml:space="preserve">N162AM  </v>
      </c>
      <c r="BC361">
        <v>1</v>
      </c>
      <c r="BE361">
        <v>0</v>
      </c>
      <c r="BF361">
        <v>0</v>
      </c>
      <c r="BG361">
        <v>0</v>
      </c>
      <c r="BH361">
        <v>1900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>"14:44:04.241"</f>
        <v>14:44:04.241</v>
      </c>
      <c r="CJ361">
        <v>3</v>
      </c>
      <c r="CK361">
        <v>2</v>
      </c>
      <c r="CL361">
        <v>0</v>
      </c>
      <c r="CM361">
        <v>2</v>
      </c>
      <c r="CN361">
        <v>0</v>
      </c>
      <c r="CO361">
        <v>1</v>
      </c>
      <c r="CP361" t="s">
        <v>119</v>
      </c>
      <c r="CQ361">
        <v>216</v>
      </c>
      <c r="CR361">
        <v>0</v>
      </c>
      <c r="CW361">
        <v>426473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1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"12/16/2021 14:44:05.834"</f>
        <v>12/16/2021 14:44:05.834</v>
      </c>
      <c r="C362" t="str">
        <f t="shared" si="16"/>
        <v>FFDFD3C0</v>
      </c>
      <c r="D362" t="s">
        <v>113</v>
      </c>
      <c r="E362">
        <v>8</v>
      </c>
      <c r="H362">
        <v>176</v>
      </c>
      <c r="I362" t="s">
        <v>114</v>
      </c>
      <c r="J362" t="s">
        <v>115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"14:44:05.648"</f>
        <v>14:44:05.648</v>
      </c>
      <c r="T362" t="str">
        <f>"14:44:05.248"</f>
        <v>14:44:05.248</v>
      </c>
      <c r="U362" t="str">
        <f t="shared" si="15"/>
        <v>A0F928</v>
      </c>
      <c r="V362">
        <v>0</v>
      </c>
      <c r="W362">
        <v>0</v>
      </c>
      <c r="X362">
        <v>2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1</v>
      </c>
      <c r="AI362" t="s">
        <v>305</v>
      </c>
      <c r="AJ362">
        <v>35.793692999999998</v>
      </c>
      <c r="AK362" t="s">
        <v>306</v>
      </c>
      <c r="AL362">
        <v>-83.97166</v>
      </c>
      <c r="AM362">
        <v>25</v>
      </c>
      <c r="AN362">
        <v>1700</v>
      </c>
      <c r="AO362" t="s">
        <v>118</v>
      </c>
      <c r="AP362">
        <v>85</v>
      </c>
      <c r="AQ362">
        <v>106</v>
      </c>
      <c r="AR362">
        <v>256</v>
      </c>
      <c r="AZ362">
        <v>300</v>
      </c>
      <c r="BA362">
        <v>1</v>
      </c>
      <c r="BB362" t="str">
        <f t="shared" si="17"/>
        <v xml:space="preserve">N162AM  </v>
      </c>
      <c r="BC362">
        <v>1</v>
      </c>
      <c r="BE362">
        <v>0</v>
      </c>
      <c r="BF362">
        <v>0</v>
      </c>
      <c r="BG362">
        <v>0</v>
      </c>
      <c r="BH362">
        <v>1975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>"14:44:05.653"</f>
        <v>14:44:05.653</v>
      </c>
      <c r="CJ362">
        <v>3</v>
      </c>
      <c r="CK362">
        <v>2</v>
      </c>
      <c r="CL362">
        <v>0</v>
      </c>
      <c r="CM362">
        <v>2</v>
      </c>
      <c r="CN362">
        <v>0</v>
      </c>
      <c r="CO362">
        <v>6</v>
      </c>
      <c r="CP362" t="s">
        <v>119</v>
      </c>
      <c r="CQ362">
        <v>232</v>
      </c>
      <c r="CR362">
        <v>2</v>
      </c>
      <c r="CW362">
        <v>6152272</v>
      </c>
      <c r="CY362">
        <v>1</v>
      </c>
      <c r="CZ362">
        <v>0</v>
      </c>
      <c r="DA362">
        <v>0</v>
      </c>
      <c r="DB362">
        <v>0</v>
      </c>
      <c r="DC362">
        <v>0</v>
      </c>
      <c r="DD362">
        <v>1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"12/16/2021 14:44:05.849"</f>
        <v>12/16/2021 14:44:05.849</v>
      </c>
      <c r="C363" t="str">
        <f t="shared" si="16"/>
        <v>FFDFD3C0</v>
      </c>
      <c r="D363" t="s">
        <v>124</v>
      </c>
      <c r="E363">
        <v>5</v>
      </c>
      <c r="F363">
        <v>1005</v>
      </c>
      <c r="G363" t="s">
        <v>114</v>
      </c>
      <c r="J363" t="s">
        <v>125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"14:44:05.648"</f>
        <v>14:44:05.648</v>
      </c>
      <c r="T363" t="str">
        <f>"14:44:05.248"</f>
        <v>14:44:05.248</v>
      </c>
      <c r="U363" t="str">
        <f t="shared" si="15"/>
        <v>A0F928</v>
      </c>
      <c r="V363">
        <v>0</v>
      </c>
      <c r="W363">
        <v>0</v>
      </c>
      <c r="X363">
        <v>2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1</v>
      </c>
      <c r="AI363" t="s">
        <v>305</v>
      </c>
      <c r="AJ363">
        <v>35.793692999999998</v>
      </c>
      <c r="AK363" t="s">
        <v>306</v>
      </c>
      <c r="AL363">
        <v>-83.97166</v>
      </c>
      <c r="AM363">
        <v>25</v>
      </c>
      <c r="AN363">
        <v>1700</v>
      </c>
      <c r="AO363" t="s">
        <v>118</v>
      </c>
      <c r="AP363">
        <v>85</v>
      </c>
      <c r="AQ363">
        <v>106</v>
      </c>
      <c r="AR363">
        <v>256</v>
      </c>
      <c r="AZ363">
        <v>300</v>
      </c>
      <c r="BA363">
        <v>1</v>
      </c>
      <c r="BB363" t="str">
        <f t="shared" si="17"/>
        <v xml:space="preserve">N162AM  </v>
      </c>
      <c r="BC363">
        <v>1</v>
      </c>
      <c r="BE363">
        <v>0</v>
      </c>
      <c r="BF363">
        <v>0</v>
      </c>
      <c r="BG363">
        <v>0</v>
      </c>
      <c r="BH363">
        <v>1975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>"14:44:05.653"</f>
        <v>14:44:05.653</v>
      </c>
      <c r="CJ363">
        <v>3</v>
      </c>
      <c r="CK363">
        <v>2</v>
      </c>
      <c r="CL363">
        <v>0</v>
      </c>
      <c r="CM363">
        <v>2</v>
      </c>
      <c r="CN363">
        <v>0</v>
      </c>
      <c r="CO363">
        <v>6</v>
      </c>
      <c r="CP363" t="s">
        <v>119</v>
      </c>
      <c r="CQ363">
        <v>232</v>
      </c>
      <c r="CR363">
        <v>2</v>
      </c>
      <c r="CW363">
        <v>6152272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1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"12/16/2021 14:44:05.896"</f>
        <v>12/16/2021 14:44:05.896</v>
      </c>
      <c r="C364" t="str">
        <f t="shared" si="16"/>
        <v>FFDFD3C0</v>
      </c>
      <c r="D364" t="s">
        <v>133</v>
      </c>
      <c r="E364">
        <v>44</v>
      </c>
      <c r="H364">
        <v>131</v>
      </c>
      <c r="I364" t="s">
        <v>134</v>
      </c>
      <c r="J364" t="s">
        <v>135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"14:44:05.648"</f>
        <v>14:44:05.648</v>
      </c>
      <c r="T364" t="str">
        <f>"14:44:05.248"</f>
        <v>14:44:05.248</v>
      </c>
      <c r="U364" t="str">
        <f t="shared" si="15"/>
        <v>A0F928</v>
      </c>
      <c r="V364">
        <v>0</v>
      </c>
      <c r="W364">
        <v>0</v>
      </c>
      <c r="X364">
        <v>2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1</v>
      </c>
      <c r="AI364" t="s">
        <v>305</v>
      </c>
      <c r="AJ364">
        <v>35.793692999999998</v>
      </c>
      <c r="AK364" t="s">
        <v>306</v>
      </c>
      <c r="AL364">
        <v>-83.97166</v>
      </c>
      <c r="AM364">
        <v>25</v>
      </c>
      <c r="AN364">
        <v>1700</v>
      </c>
      <c r="AO364" t="s">
        <v>118</v>
      </c>
      <c r="AP364">
        <v>85</v>
      </c>
      <c r="AQ364">
        <v>106</v>
      </c>
      <c r="AR364">
        <v>256</v>
      </c>
      <c r="AZ364">
        <v>300</v>
      </c>
      <c r="BA364">
        <v>1</v>
      </c>
      <c r="BB364" t="str">
        <f t="shared" si="17"/>
        <v xml:space="preserve">N162AM  </v>
      </c>
      <c r="BC364">
        <v>1</v>
      </c>
      <c r="BE364">
        <v>0</v>
      </c>
      <c r="BF364">
        <v>0</v>
      </c>
      <c r="BG364">
        <v>0</v>
      </c>
      <c r="BH364">
        <v>1975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>"14:44:05.653"</f>
        <v>14:44:05.653</v>
      </c>
      <c r="CJ364">
        <v>3</v>
      </c>
      <c r="CK364">
        <v>2</v>
      </c>
      <c r="CL364">
        <v>0</v>
      </c>
      <c r="CM364">
        <v>2</v>
      </c>
      <c r="CN364">
        <v>0</v>
      </c>
      <c r="CO364">
        <v>6</v>
      </c>
      <c r="CP364" t="s">
        <v>119</v>
      </c>
      <c r="CQ364">
        <v>232</v>
      </c>
      <c r="CR364">
        <v>2</v>
      </c>
      <c r="CW364">
        <v>6152272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1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"12/16/2021 14:44:05.896"</f>
        <v>12/16/2021 14:44:05.896</v>
      </c>
      <c r="C365" t="str">
        <f t="shared" si="16"/>
        <v>FFDFD3C0</v>
      </c>
      <c r="D365" t="s">
        <v>124</v>
      </c>
      <c r="E365">
        <v>10</v>
      </c>
      <c r="F365">
        <v>1010</v>
      </c>
      <c r="G365" t="s">
        <v>130</v>
      </c>
      <c r="J365" t="s">
        <v>125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"14:44:05.648"</f>
        <v>14:44:05.648</v>
      </c>
      <c r="T365" t="str">
        <f>"14:44:05.248"</f>
        <v>14:44:05.248</v>
      </c>
      <c r="U365" t="str">
        <f t="shared" si="15"/>
        <v>A0F928</v>
      </c>
      <c r="V365">
        <v>0</v>
      </c>
      <c r="W365">
        <v>0</v>
      </c>
      <c r="X365">
        <v>2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1</v>
      </c>
      <c r="AI365" t="s">
        <v>305</v>
      </c>
      <c r="AJ365">
        <v>35.793692999999998</v>
      </c>
      <c r="AK365" t="s">
        <v>306</v>
      </c>
      <c r="AL365">
        <v>-83.97166</v>
      </c>
      <c r="AM365">
        <v>25</v>
      </c>
      <c r="AN365">
        <v>1700</v>
      </c>
      <c r="AO365" t="s">
        <v>118</v>
      </c>
      <c r="AP365">
        <v>85</v>
      </c>
      <c r="AQ365">
        <v>106</v>
      </c>
      <c r="AR365">
        <v>256</v>
      </c>
      <c r="AZ365">
        <v>300</v>
      </c>
      <c r="BA365">
        <v>1</v>
      </c>
      <c r="BB365" t="str">
        <f t="shared" si="17"/>
        <v xml:space="preserve">N162AM  </v>
      </c>
      <c r="BC365">
        <v>1</v>
      </c>
      <c r="BE365">
        <v>0</v>
      </c>
      <c r="BF365">
        <v>0</v>
      </c>
      <c r="BG365">
        <v>0</v>
      </c>
      <c r="BH365">
        <v>1975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>"14:44:05.653"</f>
        <v>14:44:05.653</v>
      </c>
      <c r="CJ365">
        <v>3</v>
      </c>
      <c r="CK365">
        <v>2</v>
      </c>
      <c r="CL365">
        <v>0</v>
      </c>
      <c r="CM365">
        <v>2</v>
      </c>
      <c r="CN365">
        <v>0</v>
      </c>
      <c r="CO365">
        <v>6</v>
      </c>
      <c r="CP365" t="s">
        <v>119</v>
      </c>
      <c r="CQ365">
        <v>232</v>
      </c>
      <c r="CR365">
        <v>2</v>
      </c>
      <c r="CW365">
        <v>6152272</v>
      </c>
      <c r="CY365">
        <v>1</v>
      </c>
      <c r="CZ365">
        <v>0</v>
      </c>
      <c r="DA365">
        <v>1</v>
      </c>
      <c r="DB365">
        <v>0</v>
      </c>
      <c r="DC365">
        <v>0</v>
      </c>
      <c r="DD365">
        <v>1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"12/16/2021 14:44:06.803"</f>
        <v>12/16/2021 14:44:06.803</v>
      </c>
      <c r="C366" t="str">
        <f t="shared" si="16"/>
        <v>FFDFD3C0</v>
      </c>
      <c r="D366" t="s">
        <v>124</v>
      </c>
      <c r="E366">
        <v>5</v>
      </c>
      <c r="F366">
        <v>1005</v>
      </c>
      <c r="G366" t="s">
        <v>114</v>
      </c>
      <c r="J366" t="s">
        <v>125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"14:44:06.641"</f>
        <v>14:44:06.641</v>
      </c>
      <c r="T366" t="str">
        <f>"14:44:06.141"</f>
        <v>14:44:06.141</v>
      </c>
      <c r="U366" t="str">
        <f t="shared" si="15"/>
        <v>A0F928</v>
      </c>
      <c r="V366">
        <v>0</v>
      </c>
      <c r="W366">
        <v>0</v>
      </c>
      <c r="X366">
        <v>2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1</v>
      </c>
      <c r="AI366" t="s">
        <v>307</v>
      </c>
      <c r="AJ366">
        <v>35.794144000000003</v>
      </c>
      <c r="AK366" t="s">
        <v>308</v>
      </c>
      <c r="AL366">
        <v>-83.971187999999998</v>
      </c>
      <c r="AM366">
        <v>25</v>
      </c>
      <c r="AN366">
        <v>1700</v>
      </c>
      <c r="AO366" t="s">
        <v>118</v>
      </c>
      <c r="AP366">
        <v>85</v>
      </c>
      <c r="AQ366">
        <v>106</v>
      </c>
      <c r="AR366">
        <v>128</v>
      </c>
      <c r="AZ366">
        <v>300</v>
      </c>
      <c r="BA366">
        <v>1</v>
      </c>
      <c r="BB366" t="str">
        <f t="shared" si="17"/>
        <v xml:space="preserve">N162AM  </v>
      </c>
      <c r="BC366">
        <v>1</v>
      </c>
      <c r="BE366">
        <v>0</v>
      </c>
      <c r="BF366">
        <v>0</v>
      </c>
      <c r="BG366">
        <v>0</v>
      </c>
      <c r="BH366">
        <v>1950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>"14:44:06.645"</f>
        <v>14:44:06.645</v>
      </c>
      <c r="CJ366">
        <v>3</v>
      </c>
      <c r="CK366">
        <v>2</v>
      </c>
      <c r="CL366">
        <v>0</v>
      </c>
      <c r="CM366">
        <v>2</v>
      </c>
      <c r="CN366">
        <v>0</v>
      </c>
      <c r="CO366">
        <v>6</v>
      </c>
      <c r="CP366" t="s">
        <v>119</v>
      </c>
      <c r="CQ366">
        <v>232</v>
      </c>
      <c r="CR366">
        <v>2</v>
      </c>
      <c r="CW366">
        <v>6153759</v>
      </c>
      <c r="CY366">
        <v>1</v>
      </c>
      <c r="CZ366">
        <v>0</v>
      </c>
      <c r="DA366">
        <v>0</v>
      </c>
      <c r="DB366">
        <v>0</v>
      </c>
      <c r="DC366">
        <v>0</v>
      </c>
      <c r="DD366">
        <v>1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"12/16/2021 14:44:06.818"</f>
        <v>12/16/2021 14:44:06.818</v>
      </c>
      <c r="C367" t="str">
        <f t="shared" si="16"/>
        <v>FFDFD3C0</v>
      </c>
      <c r="D367" t="s">
        <v>124</v>
      </c>
      <c r="E367">
        <v>10</v>
      </c>
      <c r="F367">
        <v>1010</v>
      </c>
      <c r="G367" t="s">
        <v>130</v>
      </c>
      <c r="J367" t="s">
        <v>125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"14:44:06.641"</f>
        <v>14:44:06.641</v>
      </c>
      <c r="T367" t="str">
        <f>"14:44:06.141"</f>
        <v>14:44:06.141</v>
      </c>
      <c r="U367" t="str">
        <f t="shared" si="15"/>
        <v>A0F928</v>
      </c>
      <c r="V367">
        <v>0</v>
      </c>
      <c r="W367">
        <v>0</v>
      </c>
      <c r="X367">
        <v>2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1</v>
      </c>
      <c r="AI367" t="s">
        <v>307</v>
      </c>
      <c r="AJ367">
        <v>35.794144000000003</v>
      </c>
      <c r="AK367" t="s">
        <v>308</v>
      </c>
      <c r="AL367">
        <v>-83.971187999999998</v>
      </c>
      <c r="AM367">
        <v>25</v>
      </c>
      <c r="AN367">
        <v>1700</v>
      </c>
      <c r="AO367" t="s">
        <v>118</v>
      </c>
      <c r="AP367">
        <v>85</v>
      </c>
      <c r="AQ367">
        <v>106</v>
      </c>
      <c r="AR367">
        <v>128</v>
      </c>
      <c r="AZ367">
        <v>300</v>
      </c>
      <c r="BA367">
        <v>1</v>
      </c>
      <c r="BB367" t="str">
        <f t="shared" si="17"/>
        <v xml:space="preserve">N162AM  </v>
      </c>
      <c r="BC367">
        <v>1</v>
      </c>
      <c r="BE367">
        <v>0</v>
      </c>
      <c r="BF367">
        <v>0</v>
      </c>
      <c r="BG367">
        <v>0</v>
      </c>
      <c r="BH367">
        <v>1950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>"14:44:06.645"</f>
        <v>14:44:06.645</v>
      </c>
      <c r="CJ367">
        <v>3</v>
      </c>
      <c r="CK367">
        <v>2</v>
      </c>
      <c r="CL367">
        <v>0</v>
      </c>
      <c r="CM367">
        <v>2</v>
      </c>
      <c r="CN367">
        <v>0</v>
      </c>
      <c r="CO367">
        <v>6</v>
      </c>
      <c r="CP367" t="s">
        <v>119</v>
      </c>
      <c r="CQ367">
        <v>232</v>
      </c>
      <c r="CR367">
        <v>2</v>
      </c>
      <c r="CW367">
        <v>6153759</v>
      </c>
      <c r="CY367">
        <v>1</v>
      </c>
      <c r="CZ367">
        <v>0</v>
      </c>
      <c r="DA367">
        <v>1</v>
      </c>
      <c r="DB367">
        <v>0</v>
      </c>
      <c r="DC367">
        <v>0</v>
      </c>
      <c r="DD367">
        <v>1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"12/16/2021 14:44:06.818"</f>
        <v>12/16/2021 14:44:06.818</v>
      </c>
      <c r="C368" t="str">
        <f t="shared" si="16"/>
        <v>FFDFD3C0</v>
      </c>
      <c r="D368" t="s">
        <v>133</v>
      </c>
      <c r="E368">
        <v>44</v>
      </c>
      <c r="H368">
        <v>131</v>
      </c>
      <c r="I368" t="s">
        <v>134</v>
      </c>
      <c r="J368" t="s">
        <v>135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"14:44:06.641"</f>
        <v>14:44:06.641</v>
      </c>
      <c r="T368" t="str">
        <f>"14:44:06.141"</f>
        <v>14:44:06.141</v>
      </c>
      <c r="U368" t="str">
        <f t="shared" si="15"/>
        <v>A0F928</v>
      </c>
      <c r="V368">
        <v>0</v>
      </c>
      <c r="W368">
        <v>0</v>
      </c>
      <c r="X368">
        <v>2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1</v>
      </c>
      <c r="AI368" t="s">
        <v>307</v>
      </c>
      <c r="AJ368">
        <v>35.794144000000003</v>
      </c>
      <c r="AK368" t="s">
        <v>308</v>
      </c>
      <c r="AL368">
        <v>-83.971187999999998</v>
      </c>
      <c r="AM368">
        <v>25</v>
      </c>
      <c r="AN368">
        <v>1700</v>
      </c>
      <c r="AO368" t="s">
        <v>118</v>
      </c>
      <c r="AP368">
        <v>85</v>
      </c>
      <c r="AQ368">
        <v>106</v>
      </c>
      <c r="AR368">
        <v>128</v>
      </c>
      <c r="AZ368">
        <v>300</v>
      </c>
      <c r="BA368">
        <v>1</v>
      </c>
      <c r="BB368" t="str">
        <f t="shared" si="17"/>
        <v xml:space="preserve">N162AM  </v>
      </c>
      <c r="BC368">
        <v>1</v>
      </c>
      <c r="BE368">
        <v>0</v>
      </c>
      <c r="BF368">
        <v>0</v>
      </c>
      <c r="BG368">
        <v>0</v>
      </c>
      <c r="BH368">
        <v>1950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>"14:44:06.645"</f>
        <v>14:44:06.645</v>
      </c>
      <c r="CJ368">
        <v>3</v>
      </c>
      <c r="CK368">
        <v>2</v>
      </c>
      <c r="CL368">
        <v>0</v>
      </c>
      <c r="CM368">
        <v>2</v>
      </c>
      <c r="CN368">
        <v>0</v>
      </c>
      <c r="CO368">
        <v>6</v>
      </c>
      <c r="CP368" t="s">
        <v>119</v>
      </c>
      <c r="CQ368">
        <v>232</v>
      </c>
      <c r="CR368">
        <v>2</v>
      </c>
      <c r="CW368">
        <v>6153759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1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"12/16/2021 14:44:06.865"</f>
        <v>12/16/2021 14:44:06.865</v>
      </c>
      <c r="C369" t="str">
        <f t="shared" si="16"/>
        <v>FFDFD3C0</v>
      </c>
      <c r="D369" t="s">
        <v>113</v>
      </c>
      <c r="E369">
        <v>8</v>
      </c>
      <c r="H369">
        <v>176</v>
      </c>
      <c r="I369" t="s">
        <v>114</v>
      </c>
      <c r="J369" t="s">
        <v>115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"14:44:06.641"</f>
        <v>14:44:06.641</v>
      </c>
      <c r="T369" t="str">
        <f>"14:44:06.141"</f>
        <v>14:44:06.141</v>
      </c>
      <c r="U369" t="str">
        <f t="shared" si="15"/>
        <v>A0F928</v>
      </c>
      <c r="V369">
        <v>0</v>
      </c>
      <c r="W369">
        <v>0</v>
      </c>
      <c r="X369">
        <v>2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1</v>
      </c>
      <c r="AI369" t="s">
        <v>307</v>
      </c>
      <c r="AJ369">
        <v>35.794144000000003</v>
      </c>
      <c r="AK369" t="s">
        <v>308</v>
      </c>
      <c r="AL369">
        <v>-83.971187999999998</v>
      </c>
      <c r="AM369">
        <v>25</v>
      </c>
      <c r="AN369">
        <v>1700</v>
      </c>
      <c r="AO369" t="s">
        <v>118</v>
      </c>
      <c r="AP369">
        <v>85</v>
      </c>
      <c r="AQ369">
        <v>106</v>
      </c>
      <c r="AR369">
        <v>128</v>
      </c>
      <c r="AZ369">
        <v>300</v>
      </c>
      <c r="BA369">
        <v>1</v>
      </c>
      <c r="BB369" t="str">
        <f t="shared" si="17"/>
        <v xml:space="preserve">N162AM  </v>
      </c>
      <c r="BC369">
        <v>1</v>
      </c>
      <c r="BE369">
        <v>0</v>
      </c>
      <c r="BF369">
        <v>0</v>
      </c>
      <c r="BG369">
        <v>0</v>
      </c>
      <c r="BH369">
        <v>1950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>"14:44:06.645"</f>
        <v>14:44:06.645</v>
      </c>
      <c r="CJ369">
        <v>3</v>
      </c>
      <c r="CK369">
        <v>2</v>
      </c>
      <c r="CL369">
        <v>0</v>
      </c>
      <c r="CM369">
        <v>2</v>
      </c>
      <c r="CN369">
        <v>0</v>
      </c>
      <c r="CO369">
        <v>6</v>
      </c>
      <c r="CP369" t="s">
        <v>119</v>
      </c>
      <c r="CQ369">
        <v>232</v>
      </c>
      <c r="CR369">
        <v>2</v>
      </c>
      <c r="CW369">
        <v>6153759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1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"12/16/2021 14:44:07.943"</f>
        <v>12/16/2021 14:44:07.943</v>
      </c>
      <c r="C370" t="str">
        <f t="shared" si="16"/>
        <v>FFDFD3C0</v>
      </c>
      <c r="D370" t="s">
        <v>124</v>
      </c>
      <c r="E370">
        <v>5</v>
      </c>
      <c r="F370">
        <v>1005</v>
      </c>
      <c r="G370" t="s">
        <v>114</v>
      </c>
      <c r="J370" t="s">
        <v>125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"14:44:07.711"</f>
        <v>14:44:07.711</v>
      </c>
      <c r="T370" t="str">
        <f>"14:44:07.211"</f>
        <v>14:44:07.211</v>
      </c>
      <c r="U370" t="str">
        <f t="shared" si="15"/>
        <v>A0F928</v>
      </c>
      <c r="V370">
        <v>0</v>
      </c>
      <c r="W370">
        <v>0</v>
      </c>
      <c r="X370">
        <v>2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1</v>
      </c>
      <c r="AI370" t="s">
        <v>309</v>
      </c>
      <c r="AJ370">
        <v>35.794659000000003</v>
      </c>
      <c r="AK370" t="s">
        <v>310</v>
      </c>
      <c r="AL370">
        <v>-83.970673000000005</v>
      </c>
      <c r="AM370">
        <v>25</v>
      </c>
      <c r="AN370">
        <v>1700</v>
      </c>
      <c r="AO370" t="s">
        <v>118</v>
      </c>
      <c r="AP370">
        <v>85</v>
      </c>
      <c r="AQ370">
        <v>105</v>
      </c>
      <c r="AR370">
        <v>0</v>
      </c>
      <c r="AZ370">
        <v>300</v>
      </c>
      <c r="BA370">
        <v>1</v>
      </c>
      <c r="BB370" t="str">
        <f t="shared" si="17"/>
        <v xml:space="preserve">N162AM  </v>
      </c>
      <c r="BC370">
        <v>1</v>
      </c>
      <c r="BE370">
        <v>0</v>
      </c>
      <c r="BF370">
        <v>0</v>
      </c>
      <c r="BG370">
        <v>0</v>
      </c>
      <c r="BH370">
        <v>1975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>"14:44:07.718"</f>
        <v>14:44:07.718</v>
      </c>
      <c r="CJ370">
        <v>3</v>
      </c>
      <c r="CK370">
        <v>2</v>
      </c>
      <c r="CL370">
        <v>0</v>
      </c>
      <c r="CM370">
        <v>2</v>
      </c>
      <c r="CN370">
        <v>0</v>
      </c>
      <c r="CO370">
        <v>6</v>
      </c>
      <c r="CP370" t="s">
        <v>119</v>
      </c>
      <c r="CQ370">
        <v>232</v>
      </c>
      <c r="CR370">
        <v>2</v>
      </c>
      <c r="CW370">
        <v>6155400</v>
      </c>
      <c r="CY370">
        <v>1</v>
      </c>
      <c r="CZ370">
        <v>0</v>
      </c>
      <c r="DA370">
        <v>0</v>
      </c>
      <c r="DB370">
        <v>0</v>
      </c>
      <c r="DC370">
        <v>0</v>
      </c>
      <c r="DD370">
        <v>1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"12/16/2021 14:44:07.943"</f>
        <v>12/16/2021 14:44:07.943</v>
      </c>
      <c r="C371" t="str">
        <f t="shared" si="16"/>
        <v>FFDFD3C0</v>
      </c>
      <c r="D371" t="s">
        <v>124</v>
      </c>
      <c r="E371">
        <v>10</v>
      </c>
      <c r="F371">
        <v>1010</v>
      </c>
      <c r="G371" t="s">
        <v>130</v>
      </c>
      <c r="J371" t="s">
        <v>125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"14:44:07.711"</f>
        <v>14:44:07.711</v>
      </c>
      <c r="T371" t="str">
        <f>"14:44:07.211"</f>
        <v>14:44:07.211</v>
      </c>
      <c r="U371" t="str">
        <f t="shared" si="15"/>
        <v>A0F928</v>
      </c>
      <c r="V371">
        <v>0</v>
      </c>
      <c r="W371">
        <v>0</v>
      </c>
      <c r="X371">
        <v>2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1</v>
      </c>
      <c r="AI371" t="s">
        <v>309</v>
      </c>
      <c r="AJ371">
        <v>35.794659000000003</v>
      </c>
      <c r="AK371" t="s">
        <v>310</v>
      </c>
      <c r="AL371">
        <v>-83.970673000000005</v>
      </c>
      <c r="AM371">
        <v>25</v>
      </c>
      <c r="AN371">
        <v>1700</v>
      </c>
      <c r="AO371" t="s">
        <v>118</v>
      </c>
      <c r="AP371">
        <v>85</v>
      </c>
      <c r="AQ371">
        <v>105</v>
      </c>
      <c r="AR371">
        <v>0</v>
      </c>
      <c r="AZ371">
        <v>300</v>
      </c>
      <c r="BA371">
        <v>1</v>
      </c>
      <c r="BB371" t="str">
        <f t="shared" si="17"/>
        <v xml:space="preserve">N162AM  </v>
      </c>
      <c r="BC371">
        <v>1</v>
      </c>
      <c r="BE371">
        <v>0</v>
      </c>
      <c r="BF371">
        <v>0</v>
      </c>
      <c r="BG371">
        <v>0</v>
      </c>
      <c r="BH371">
        <v>1975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>"14:44:07.718"</f>
        <v>14:44:07.718</v>
      </c>
      <c r="CJ371">
        <v>3</v>
      </c>
      <c r="CK371">
        <v>2</v>
      </c>
      <c r="CL371">
        <v>0</v>
      </c>
      <c r="CM371">
        <v>2</v>
      </c>
      <c r="CN371">
        <v>0</v>
      </c>
      <c r="CO371">
        <v>6</v>
      </c>
      <c r="CP371" t="s">
        <v>119</v>
      </c>
      <c r="CQ371">
        <v>232</v>
      </c>
      <c r="CR371">
        <v>2</v>
      </c>
      <c r="CW371">
        <v>6155400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1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"12/16/2021 14:44:07.943"</f>
        <v>12/16/2021 14:44:07.943</v>
      </c>
      <c r="C372" t="str">
        <f t="shared" si="16"/>
        <v>FFDFD3C0</v>
      </c>
      <c r="D372" t="s">
        <v>133</v>
      </c>
      <c r="E372">
        <v>44</v>
      </c>
      <c r="H372">
        <v>131</v>
      </c>
      <c r="I372" t="s">
        <v>134</v>
      </c>
      <c r="J372" t="s">
        <v>135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"14:44:07.711"</f>
        <v>14:44:07.711</v>
      </c>
      <c r="T372" t="str">
        <f>"14:44:07.211"</f>
        <v>14:44:07.211</v>
      </c>
      <c r="U372" t="str">
        <f t="shared" si="15"/>
        <v>A0F928</v>
      </c>
      <c r="V372">
        <v>0</v>
      </c>
      <c r="W372">
        <v>0</v>
      </c>
      <c r="X372">
        <v>2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1</v>
      </c>
      <c r="AI372" t="s">
        <v>309</v>
      </c>
      <c r="AJ372">
        <v>35.794659000000003</v>
      </c>
      <c r="AK372" t="s">
        <v>310</v>
      </c>
      <c r="AL372">
        <v>-83.970673000000005</v>
      </c>
      <c r="AM372">
        <v>25</v>
      </c>
      <c r="AN372">
        <v>1700</v>
      </c>
      <c r="AO372" t="s">
        <v>118</v>
      </c>
      <c r="AP372">
        <v>85</v>
      </c>
      <c r="AQ372">
        <v>105</v>
      </c>
      <c r="AR372">
        <v>0</v>
      </c>
      <c r="AZ372">
        <v>300</v>
      </c>
      <c r="BA372">
        <v>1</v>
      </c>
      <c r="BB372" t="str">
        <f t="shared" si="17"/>
        <v xml:space="preserve">N162AM  </v>
      </c>
      <c r="BC372">
        <v>1</v>
      </c>
      <c r="BE372">
        <v>0</v>
      </c>
      <c r="BF372">
        <v>0</v>
      </c>
      <c r="BG372">
        <v>0</v>
      </c>
      <c r="BH372">
        <v>1975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>"14:44:07.718"</f>
        <v>14:44:07.718</v>
      </c>
      <c r="CJ372">
        <v>3</v>
      </c>
      <c r="CK372">
        <v>2</v>
      </c>
      <c r="CL372">
        <v>0</v>
      </c>
      <c r="CM372">
        <v>2</v>
      </c>
      <c r="CN372">
        <v>0</v>
      </c>
      <c r="CO372">
        <v>6</v>
      </c>
      <c r="CP372" t="s">
        <v>119</v>
      </c>
      <c r="CQ372">
        <v>232</v>
      </c>
      <c r="CR372">
        <v>2</v>
      </c>
      <c r="CW372">
        <v>6155400</v>
      </c>
      <c r="CY372">
        <v>1</v>
      </c>
      <c r="CZ372">
        <v>0</v>
      </c>
      <c r="DA372">
        <v>1</v>
      </c>
      <c r="DB372">
        <v>0</v>
      </c>
      <c r="DC372">
        <v>0</v>
      </c>
      <c r="DD372">
        <v>1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"12/16/2021 14:44:07.959"</f>
        <v>12/16/2021 14:44:07.959</v>
      </c>
      <c r="C373" t="str">
        <f t="shared" si="16"/>
        <v>FFDFD3C0</v>
      </c>
      <c r="D373" t="s">
        <v>113</v>
      </c>
      <c r="E373">
        <v>8</v>
      </c>
      <c r="H373">
        <v>176</v>
      </c>
      <c r="I373" t="s">
        <v>114</v>
      </c>
      <c r="J373" t="s">
        <v>115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"14:44:07.711"</f>
        <v>14:44:07.711</v>
      </c>
      <c r="T373" t="str">
        <f>"14:44:07.211"</f>
        <v>14:44:07.211</v>
      </c>
      <c r="U373" t="str">
        <f t="shared" si="15"/>
        <v>A0F928</v>
      </c>
      <c r="V373">
        <v>0</v>
      </c>
      <c r="W373">
        <v>0</v>
      </c>
      <c r="X373">
        <v>2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1</v>
      </c>
      <c r="AI373" t="s">
        <v>309</v>
      </c>
      <c r="AJ373">
        <v>35.794659000000003</v>
      </c>
      <c r="AK373" t="s">
        <v>310</v>
      </c>
      <c r="AL373">
        <v>-83.970673000000005</v>
      </c>
      <c r="AM373">
        <v>25</v>
      </c>
      <c r="AN373">
        <v>1700</v>
      </c>
      <c r="AO373" t="s">
        <v>118</v>
      </c>
      <c r="AP373">
        <v>85</v>
      </c>
      <c r="AQ373">
        <v>105</v>
      </c>
      <c r="AR373">
        <v>0</v>
      </c>
      <c r="AZ373">
        <v>300</v>
      </c>
      <c r="BA373">
        <v>1</v>
      </c>
      <c r="BB373" t="str">
        <f t="shared" si="17"/>
        <v xml:space="preserve">N162AM  </v>
      </c>
      <c r="BC373">
        <v>1</v>
      </c>
      <c r="BE373">
        <v>0</v>
      </c>
      <c r="BF373">
        <v>0</v>
      </c>
      <c r="BG373">
        <v>0</v>
      </c>
      <c r="BH373">
        <v>1975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>"14:44:07.718"</f>
        <v>14:44:07.718</v>
      </c>
      <c r="CJ373">
        <v>3</v>
      </c>
      <c r="CK373">
        <v>2</v>
      </c>
      <c r="CL373">
        <v>0</v>
      </c>
      <c r="CM373">
        <v>2</v>
      </c>
      <c r="CN373">
        <v>0</v>
      </c>
      <c r="CO373">
        <v>6</v>
      </c>
      <c r="CP373" t="s">
        <v>119</v>
      </c>
      <c r="CQ373">
        <v>232</v>
      </c>
      <c r="CR373">
        <v>2</v>
      </c>
      <c r="CW373">
        <v>6155400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1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"12/16/2021 14:44:08.850"</f>
        <v>12/16/2021 14:44:08.850</v>
      </c>
      <c r="C374" t="str">
        <f t="shared" si="16"/>
        <v>FFDFD3C0</v>
      </c>
      <c r="D374" t="s">
        <v>133</v>
      </c>
      <c r="E374">
        <v>44</v>
      </c>
      <c r="H374">
        <v>131</v>
      </c>
      <c r="I374" t="s">
        <v>134</v>
      </c>
      <c r="J374" t="s">
        <v>135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"14:44:08.664"</f>
        <v>14:44:08.664</v>
      </c>
      <c r="T374" t="str">
        <f>"14:44:08.164"</f>
        <v>14:44:08.164</v>
      </c>
      <c r="U374" t="str">
        <f t="shared" si="15"/>
        <v>A0F928</v>
      </c>
      <c r="V374">
        <v>0</v>
      </c>
      <c r="W374">
        <v>0</v>
      </c>
      <c r="X374">
        <v>2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1</v>
      </c>
      <c r="AI374" t="s">
        <v>311</v>
      </c>
      <c r="AJ374">
        <v>35.795130999999998</v>
      </c>
      <c r="AK374" t="s">
        <v>312</v>
      </c>
      <c r="AL374">
        <v>-83.970201000000003</v>
      </c>
      <c r="AM374">
        <v>25</v>
      </c>
      <c r="AN374">
        <v>1700</v>
      </c>
      <c r="AO374" t="s">
        <v>118</v>
      </c>
      <c r="AP374">
        <v>85</v>
      </c>
      <c r="AQ374">
        <v>105</v>
      </c>
      <c r="AR374">
        <v>-64</v>
      </c>
      <c r="AZ374">
        <v>300</v>
      </c>
      <c r="BA374">
        <v>1</v>
      </c>
      <c r="BB374" t="str">
        <f t="shared" si="17"/>
        <v xml:space="preserve">N162AM  </v>
      </c>
      <c r="BC374">
        <v>1</v>
      </c>
      <c r="BE374">
        <v>0</v>
      </c>
      <c r="BF374">
        <v>0</v>
      </c>
      <c r="BG374">
        <v>0</v>
      </c>
      <c r="BH374">
        <v>1975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>"14:44:08.665"</f>
        <v>14:44:08.665</v>
      </c>
      <c r="CJ374">
        <v>3</v>
      </c>
      <c r="CK374">
        <v>2</v>
      </c>
      <c r="CL374">
        <v>0</v>
      </c>
      <c r="CM374">
        <v>2</v>
      </c>
      <c r="CN374">
        <v>0</v>
      </c>
      <c r="CO374">
        <v>6</v>
      </c>
      <c r="CP374" t="s">
        <v>119</v>
      </c>
      <c r="CQ374">
        <v>232</v>
      </c>
      <c r="CR374">
        <v>1</v>
      </c>
      <c r="CW374">
        <v>14960539</v>
      </c>
      <c r="CY374">
        <v>1</v>
      </c>
      <c r="CZ374">
        <v>0</v>
      </c>
      <c r="DA374">
        <v>0</v>
      </c>
      <c r="DB374">
        <v>0</v>
      </c>
      <c r="DC374">
        <v>0</v>
      </c>
      <c r="DD374">
        <v>1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"12/16/2021 14:44:08.865"</f>
        <v>12/16/2021 14:44:08.865</v>
      </c>
      <c r="C375" t="str">
        <f t="shared" si="16"/>
        <v>FFDFD3C0</v>
      </c>
      <c r="D375" t="s">
        <v>113</v>
      </c>
      <c r="E375">
        <v>8</v>
      </c>
      <c r="H375">
        <v>176</v>
      </c>
      <c r="I375" t="s">
        <v>114</v>
      </c>
      <c r="J375" t="s">
        <v>115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"14:44:08.664"</f>
        <v>14:44:08.664</v>
      </c>
      <c r="T375" t="str">
        <f>"14:44:08.164"</f>
        <v>14:44:08.164</v>
      </c>
      <c r="U375" t="str">
        <f t="shared" si="15"/>
        <v>A0F928</v>
      </c>
      <c r="V375">
        <v>0</v>
      </c>
      <c r="W375">
        <v>0</v>
      </c>
      <c r="X375">
        <v>2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1</v>
      </c>
      <c r="AI375" t="s">
        <v>311</v>
      </c>
      <c r="AJ375">
        <v>35.795130999999998</v>
      </c>
      <c r="AK375" t="s">
        <v>312</v>
      </c>
      <c r="AL375">
        <v>-83.970201000000003</v>
      </c>
      <c r="AM375">
        <v>25</v>
      </c>
      <c r="AN375">
        <v>1700</v>
      </c>
      <c r="AO375" t="s">
        <v>118</v>
      </c>
      <c r="AP375">
        <v>85</v>
      </c>
      <c r="AQ375">
        <v>105</v>
      </c>
      <c r="AR375">
        <v>-64</v>
      </c>
      <c r="AZ375">
        <v>300</v>
      </c>
      <c r="BA375">
        <v>1</v>
      </c>
      <c r="BB375" t="str">
        <f t="shared" si="17"/>
        <v xml:space="preserve">N162AM  </v>
      </c>
      <c r="BC375">
        <v>1</v>
      </c>
      <c r="BE375">
        <v>0</v>
      </c>
      <c r="BF375">
        <v>0</v>
      </c>
      <c r="BG375">
        <v>0</v>
      </c>
      <c r="BH375">
        <v>1975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>"14:44:08.665"</f>
        <v>14:44:08.665</v>
      </c>
      <c r="CJ375">
        <v>3</v>
      </c>
      <c r="CK375">
        <v>2</v>
      </c>
      <c r="CL375">
        <v>0</v>
      </c>
      <c r="CM375">
        <v>2</v>
      </c>
      <c r="CN375">
        <v>0</v>
      </c>
      <c r="CO375">
        <v>6</v>
      </c>
      <c r="CP375" t="s">
        <v>119</v>
      </c>
      <c r="CQ375">
        <v>232</v>
      </c>
      <c r="CR375">
        <v>1</v>
      </c>
      <c r="CW375">
        <v>14960539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1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"12/16/2021 14:44:08.865"</f>
        <v>12/16/2021 14:44:08.865</v>
      </c>
      <c r="C376" t="str">
        <f t="shared" si="16"/>
        <v>FFDFD3C0</v>
      </c>
      <c r="D376" t="s">
        <v>124</v>
      </c>
      <c r="E376">
        <v>5</v>
      </c>
      <c r="F376">
        <v>1005</v>
      </c>
      <c r="G376" t="s">
        <v>114</v>
      </c>
      <c r="J376" t="s">
        <v>125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"14:44:08.664"</f>
        <v>14:44:08.664</v>
      </c>
      <c r="T376" t="str">
        <f>"14:44:08.164"</f>
        <v>14:44:08.164</v>
      </c>
      <c r="U376" t="str">
        <f t="shared" si="15"/>
        <v>A0F928</v>
      </c>
      <c r="V376">
        <v>0</v>
      </c>
      <c r="W376">
        <v>0</v>
      </c>
      <c r="X376">
        <v>2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1</v>
      </c>
      <c r="AI376" t="s">
        <v>311</v>
      </c>
      <c r="AJ376">
        <v>35.795130999999998</v>
      </c>
      <c r="AK376" t="s">
        <v>312</v>
      </c>
      <c r="AL376">
        <v>-83.970201000000003</v>
      </c>
      <c r="AM376">
        <v>25</v>
      </c>
      <c r="AN376">
        <v>1700</v>
      </c>
      <c r="AO376" t="s">
        <v>118</v>
      </c>
      <c r="AP376">
        <v>85</v>
      </c>
      <c r="AQ376">
        <v>105</v>
      </c>
      <c r="AR376">
        <v>-64</v>
      </c>
      <c r="AZ376">
        <v>300</v>
      </c>
      <c r="BA376">
        <v>1</v>
      </c>
      <c r="BB376" t="str">
        <f t="shared" si="17"/>
        <v xml:space="preserve">N162AM  </v>
      </c>
      <c r="BC376">
        <v>1</v>
      </c>
      <c r="BE376">
        <v>0</v>
      </c>
      <c r="BF376">
        <v>0</v>
      </c>
      <c r="BG376">
        <v>0</v>
      </c>
      <c r="BH376">
        <v>1975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>"14:44:08.665"</f>
        <v>14:44:08.665</v>
      </c>
      <c r="CJ376">
        <v>3</v>
      </c>
      <c r="CK376">
        <v>2</v>
      </c>
      <c r="CL376">
        <v>0</v>
      </c>
      <c r="CM376">
        <v>2</v>
      </c>
      <c r="CN376">
        <v>0</v>
      </c>
      <c r="CO376">
        <v>6</v>
      </c>
      <c r="CP376" t="s">
        <v>119</v>
      </c>
      <c r="CQ376">
        <v>232</v>
      </c>
      <c r="CR376">
        <v>1</v>
      </c>
      <c r="CW376">
        <v>14960539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1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"12/16/2021 14:44:08.912"</f>
        <v>12/16/2021 14:44:08.912</v>
      </c>
      <c r="C377" t="str">
        <f t="shared" si="16"/>
        <v>FFDFD3C0</v>
      </c>
      <c r="D377" t="s">
        <v>124</v>
      </c>
      <c r="E377">
        <v>10</v>
      </c>
      <c r="F377">
        <v>1010</v>
      </c>
      <c r="G377" t="s">
        <v>130</v>
      </c>
      <c r="J377" t="s">
        <v>125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"14:44:08.664"</f>
        <v>14:44:08.664</v>
      </c>
      <c r="T377" t="str">
        <f>"14:44:08.164"</f>
        <v>14:44:08.164</v>
      </c>
      <c r="U377" t="str">
        <f t="shared" si="15"/>
        <v>A0F928</v>
      </c>
      <c r="V377">
        <v>0</v>
      </c>
      <c r="W377">
        <v>0</v>
      </c>
      <c r="X377">
        <v>2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1</v>
      </c>
      <c r="AI377" t="s">
        <v>311</v>
      </c>
      <c r="AJ377">
        <v>35.795130999999998</v>
      </c>
      <c r="AK377" t="s">
        <v>312</v>
      </c>
      <c r="AL377">
        <v>-83.970201000000003</v>
      </c>
      <c r="AM377">
        <v>25</v>
      </c>
      <c r="AN377">
        <v>1700</v>
      </c>
      <c r="AO377" t="s">
        <v>118</v>
      </c>
      <c r="AP377">
        <v>85</v>
      </c>
      <c r="AQ377">
        <v>105</v>
      </c>
      <c r="AR377">
        <v>-64</v>
      </c>
      <c r="AZ377">
        <v>300</v>
      </c>
      <c r="BA377">
        <v>1</v>
      </c>
      <c r="BB377" t="str">
        <f t="shared" si="17"/>
        <v xml:space="preserve">N162AM  </v>
      </c>
      <c r="BC377">
        <v>1</v>
      </c>
      <c r="BE377">
        <v>0</v>
      </c>
      <c r="BF377">
        <v>0</v>
      </c>
      <c r="BG377">
        <v>0</v>
      </c>
      <c r="BH377">
        <v>1975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>"14:44:08.665"</f>
        <v>14:44:08.665</v>
      </c>
      <c r="CJ377">
        <v>3</v>
      </c>
      <c r="CK377">
        <v>2</v>
      </c>
      <c r="CL377">
        <v>0</v>
      </c>
      <c r="CM377">
        <v>2</v>
      </c>
      <c r="CN377">
        <v>0</v>
      </c>
      <c r="CO377">
        <v>6</v>
      </c>
      <c r="CP377" t="s">
        <v>119</v>
      </c>
      <c r="CQ377">
        <v>232</v>
      </c>
      <c r="CR377">
        <v>1</v>
      </c>
      <c r="CW377">
        <v>14960539</v>
      </c>
      <c r="CY377">
        <v>1</v>
      </c>
      <c r="CZ377">
        <v>0</v>
      </c>
      <c r="DA377">
        <v>1</v>
      </c>
      <c r="DB377">
        <v>0</v>
      </c>
      <c r="DC377">
        <v>0</v>
      </c>
      <c r="DD377">
        <v>1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"12/16/2021 14:44:10.318"</f>
        <v>12/16/2021 14:44:10.318</v>
      </c>
      <c r="C378" t="str">
        <f t="shared" si="16"/>
        <v>FFDFD3C0</v>
      </c>
      <c r="D378" t="s">
        <v>133</v>
      </c>
      <c r="E378">
        <v>44</v>
      </c>
      <c r="H378">
        <v>131</v>
      </c>
      <c r="I378" t="s">
        <v>134</v>
      </c>
      <c r="J378" t="s">
        <v>135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"14:44:10.086"</f>
        <v>14:44:10.086</v>
      </c>
      <c r="T378" t="str">
        <f>"14:44:09.686"</f>
        <v>14:44:09.686</v>
      </c>
      <c r="U378" t="str">
        <f t="shared" si="15"/>
        <v>A0F928</v>
      </c>
      <c r="V378">
        <v>0</v>
      </c>
      <c r="W378">
        <v>0</v>
      </c>
      <c r="X378">
        <v>2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1</v>
      </c>
      <c r="AI378" t="s">
        <v>313</v>
      </c>
      <c r="AJ378">
        <v>35.795839000000001</v>
      </c>
      <c r="AK378" t="s">
        <v>314</v>
      </c>
      <c r="AL378">
        <v>-83.969493</v>
      </c>
      <c r="AM378">
        <v>25</v>
      </c>
      <c r="AN378">
        <v>1700</v>
      </c>
      <c r="AO378" t="s">
        <v>118</v>
      </c>
      <c r="AP378">
        <v>86</v>
      </c>
      <c r="AQ378">
        <v>104</v>
      </c>
      <c r="AR378">
        <v>-64</v>
      </c>
      <c r="AZ378">
        <v>300</v>
      </c>
      <c r="BA378">
        <v>1</v>
      </c>
      <c r="BB378" t="str">
        <f t="shared" si="17"/>
        <v xml:space="preserve">N162AM  </v>
      </c>
      <c r="BC378">
        <v>1</v>
      </c>
      <c r="BE378">
        <v>0</v>
      </c>
      <c r="BF378">
        <v>0</v>
      </c>
      <c r="BG378">
        <v>0</v>
      </c>
      <c r="BH378">
        <v>1975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>"14:44:10.090"</f>
        <v>14:44:10.090</v>
      </c>
      <c r="CJ378">
        <v>3</v>
      </c>
      <c r="CK378">
        <v>2</v>
      </c>
      <c r="CL378">
        <v>0</v>
      </c>
      <c r="CM378">
        <v>2</v>
      </c>
      <c r="CN378">
        <v>0</v>
      </c>
      <c r="CO378">
        <v>5</v>
      </c>
      <c r="CP378" t="s">
        <v>119</v>
      </c>
      <c r="CQ378">
        <v>232</v>
      </c>
      <c r="CR378">
        <v>2</v>
      </c>
      <c r="CW378">
        <v>6159085</v>
      </c>
      <c r="CY378">
        <v>1</v>
      </c>
      <c r="CZ378">
        <v>0</v>
      </c>
      <c r="DA378">
        <v>0</v>
      </c>
      <c r="DB378">
        <v>0</v>
      </c>
      <c r="DC378">
        <v>0</v>
      </c>
      <c r="DD378">
        <v>1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"12/16/2021 14:44:10.381"</f>
        <v>12/16/2021 14:44:10.381</v>
      </c>
      <c r="C379" t="str">
        <f t="shared" si="16"/>
        <v>FFDFD3C0</v>
      </c>
      <c r="D379" t="s">
        <v>113</v>
      </c>
      <c r="E379">
        <v>8</v>
      </c>
      <c r="H379">
        <v>176</v>
      </c>
      <c r="I379" t="s">
        <v>114</v>
      </c>
      <c r="J379" t="s">
        <v>115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"14:44:10.086"</f>
        <v>14:44:10.086</v>
      </c>
      <c r="T379" t="str">
        <f>"14:44:09.686"</f>
        <v>14:44:09.686</v>
      </c>
      <c r="U379" t="str">
        <f t="shared" si="15"/>
        <v>A0F928</v>
      </c>
      <c r="V379">
        <v>0</v>
      </c>
      <c r="W379">
        <v>0</v>
      </c>
      <c r="X379">
        <v>2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1</v>
      </c>
      <c r="AI379" t="s">
        <v>313</v>
      </c>
      <c r="AJ379">
        <v>35.795839000000001</v>
      </c>
      <c r="AK379" t="s">
        <v>314</v>
      </c>
      <c r="AL379">
        <v>-83.969493</v>
      </c>
      <c r="AM379">
        <v>25</v>
      </c>
      <c r="AN379">
        <v>1700</v>
      </c>
      <c r="AO379" t="s">
        <v>118</v>
      </c>
      <c r="AP379">
        <v>86</v>
      </c>
      <c r="AQ379">
        <v>104</v>
      </c>
      <c r="AR379">
        <v>-64</v>
      </c>
      <c r="AZ379">
        <v>300</v>
      </c>
      <c r="BA379">
        <v>1</v>
      </c>
      <c r="BB379" t="str">
        <f t="shared" si="17"/>
        <v xml:space="preserve">N162AM  </v>
      </c>
      <c r="BC379">
        <v>1</v>
      </c>
      <c r="BE379">
        <v>0</v>
      </c>
      <c r="BF379">
        <v>0</v>
      </c>
      <c r="BG379">
        <v>0</v>
      </c>
      <c r="BH379">
        <v>1975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>"14:44:10.090"</f>
        <v>14:44:10.090</v>
      </c>
      <c r="CJ379">
        <v>3</v>
      </c>
      <c r="CK379">
        <v>2</v>
      </c>
      <c r="CL379">
        <v>0</v>
      </c>
      <c r="CM379">
        <v>2</v>
      </c>
      <c r="CN379">
        <v>0</v>
      </c>
      <c r="CO379">
        <v>5</v>
      </c>
      <c r="CP379" t="s">
        <v>119</v>
      </c>
      <c r="CQ379">
        <v>232</v>
      </c>
      <c r="CR379">
        <v>2</v>
      </c>
      <c r="CW379">
        <v>6159085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"12/16/2021 14:44:10.381"</f>
        <v>12/16/2021 14:44:10.381</v>
      </c>
      <c r="C380" t="str">
        <f t="shared" si="16"/>
        <v>FFDFD3C0</v>
      </c>
      <c r="D380" t="s">
        <v>124</v>
      </c>
      <c r="E380">
        <v>5</v>
      </c>
      <c r="F380">
        <v>1005</v>
      </c>
      <c r="G380" t="s">
        <v>114</v>
      </c>
      <c r="J380" t="s">
        <v>125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"14:44:10.086"</f>
        <v>14:44:10.086</v>
      </c>
      <c r="T380" t="str">
        <f>"14:44:09.686"</f>
        <v>14:44:09.686</v>
      </c>
      <c r="U380" t="str">
        <f t="shared" si="15"/>
        <v>A0F928</v>
      </c>
      <c r="V380">
        <v>0</v>
      </c>
      <c r="W380">
        <v>0</v>
      </c>
      <c r="X380">
        <v>2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1</v>
      </c>
      <c r="AI380" t="s">
        <v>313</v>
      </c>
      <c r="AJ380">
        <v>35.795839000000001</v>
      </c>
      <c r="AK380" t="s">
        <v>314</v>
      </c>
      <c r="AL380">
        <v>-83.969493</v>
      </c>
      <c r="AM380">
        <v>25</v>
      </c>
      <c r="AN380">
        <v>1700</v>
      </c>
      <c r="AO380" t="s">
        <v>118</v>
      </c>
      <c r="AP380">
        <v>86</v>
      </c>
      <c r="AQ380">
        <v>104</v>
      </c>
      <c r="AR380">
        <v>-64</v>
      </c>
      <c r="AZ380">
        <v>300</v>
      </c>
      <c r="BA380">
        <v>1</v>
      </c>
      <c r="BB380" t="str">
        <f t="shared" si="17"/>
        <v xml:space="preserve">N162AM  </v>
      </c>
      <c r="BC380">
        <v>1</v>
      </c>
      <c r="BE380">
        <v>0</v>
      </c>
      <c r="BF380">
        <v>0</v>
      </c>
      <c r="BG380">
        <v>0</v>
      </c>
      <c r="BH380">
        <v>1975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>"14:44:10.090"</f>
        <v>14:44:10.090</v>
      </c>
      <c r="CJ380">
        <v>3</v>
      </c>
      <c r="CK380">
        <v>2</v>
      </c>
      <c r="CL380">
        <v>0</v>
      </c>
      <c r="CM380">
        <v>2</v>
      </c>
      <c r="CN380">
        <v>0</v>
      </c>
      <c r="CO380">
        <v>5</v>
      </c>
      <c r="CP380" t="s">
        <v>119</v>
      </c>
      <c r="CQ380">
        <v>232</v>
      </c>
      <c r="CR380">
        <v>2</v>
      </c>
      <c r="CW380">
        <v>6159085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1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"12/16/2021 14:44:10.381"</f>
        <v>12/16/2021 14:44:10.381</v>
      </c>
      <c r="C381" t="str">
        <f t="shared" si="16"/>
        <v>FFDFD3C0</v>
      </c>
      <c r="D381" t="s">
        <v>124</v>
      </c>
      <c r="E381">
        <v>10</v>
      </c>
      <c r="F381">
        <v>1010</v>
      </c>
      <c r="G381" t="s">
        <v>130</v>
      </c>
      <c r="J381" t="s">
        <v>125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"14:44:10.086"</f>
        <v>14:44:10.086</v>
      </c>
      <c r="T381" t="str">
        <f>"14:44:09.686"</f>
        <v>14:44:09.686</v>
      </c>
      <c r="U381" t="str">
        <f t="shared" si="15"/>
        <v>A0F928</v>
      </c>
      <c r="V381">
        <v>0</v>
      </c>
      <c r="W381">
        <v>0</v>
      </c>
      <c r="X381">
        <v>2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1</v>
      </c>
      <c r="AI381" t="s">
        <v>313</v>
      </c>
      <c r="AJ381">
        <v>35.795839000000001</v>
      </c>
      <c r="AK381" t="s">
        <v>314</v>
      </c>
      <c r="AL381">
        <v>-83.969493</v>
      </c>
      <c r="AM381">
        <v>25</v>
      </c>
      <c r="AN381">
        <v>1700</v>
      </c>
      <c r="AO381" t="s">
        <v>118</v>
      </c>
      <c r="AP381">
        <v>86</v>
      </c>
      <c r="AQ381">
        <v>104</v>
      </c>
      <c r="AR381">
        <v>-64</v>
      </c>
      <c r="AZ381">
        <v>300</v>
      </c>
      <c r="BA381">
        <v>1</v>
      </c>
      <c r="BB381" t="str">
        <f t="shared" si="17"/>
        <v xml:space="preserve">N162AM  </v>
      </c>
      <c r="BC381">
        <v>1</v>
      </c>
      <c r="BE381">
        <v>0</v>
      </c>
      <c r="BF381">
        <v>0</v>
      </c>
      <c r="BG381">
        <v>0</v>
      </c>
      <c r="BH381">
        <v>1975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>"14:44:10.090"</f>
        <v>14:44:10.090</v>
      </c>
      <c r="CJ381">
        <v>3</v>
      </c>
      <c r="CK381">
        <v>2</v>
      </c>
      <c r="CL381">
        <v>0</v>
      </c>
      <c r="CM381">
        <v>2</v>
      </c>
      <c r="CN381">
        <v>0</v>
      </c>
      <c r="CO381">
        <v>5</v>
      </c>
      <c r="CP381" t="s">
        <v>119</v>
      </c>
      <c r="CQ381">
        <v>232</v>
      </c>
      <c r="CR381">
        <v>2</v>
      </c>
      <c r="CW381">
        <v>6159085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1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"12/16/2021 14:44:11.537"</f>
        <v>12/16/2021 14:44:11.537</v>
      </c>
      <c r="C382" t="str">
        <f t="shared" si="16"/>
        <v>FFDFD3C0</v>
      </c>
      <c r="D382" t="s">
        <v>124</v>
      </c>
      <c r="E382">
        <v>10</v>
      </c>
      <c r="F382">
        <v>1010</v>
      </c>
      <c r="G382" t="s">
        <v>130</v>
      </c>
      <c r="J382" t="s">
        <v>125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"14:44:11.359"</f>
        <v>14:44:11.359</v>
      </c>
      <c r="T382" t="str">
        <f>"14:44:10.959"</f>
        <v>14:44:10.959</v>
      </c>
      <c r="U382" t="str">
        <f t="shared" si="15"/>
        <v>A0F928</v>
      </c>
      <c r="V382">
        <v>0</v>
      </c>
      <c r="W382">
        <v>0</v>
      </c>
      <c r="X382">
        <v>2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0</v>
      </c>
      <c r="AG382">
        <v>2</v>
      </c>
      <c r="AH382">
        <v>1</v>
      </c>
      <c r="AI382" t="s">
        <v>315</v>
      </c>
      <c r="AJ382">
        <v>35.796439999999997</v>
      </c>
      <c r="AK382" t="s">
        <v>316</v>
      </c>
      <c r="AL382">
        <v>-83.968913999999998</v>
      </c>
      <c r="AM382">
        <v>25</v>
      </c>
      <c r="AN382">
        <v>1700</v>
      </c>
      <c r="AO382" t="s">
        <v>118</v>
      </c>
      <c r="AP382">
        <v>86</v>
      </c>
      <c r="AQ382">
        <v>103</v>
      </c>
      <c r="AR382">
        <v>-128</v>
      </c>
      <c r="AZ382">
        <v>300</v>
      </c>
      <c r="BA382">
        <v>1</v>
      </c>
      <c r="BB382" t="str">
        <f t="shared" si="17"/>
        <v xml:space="preserve">N162AM  </v>
      </c>
      <c r="BC382">
        <v>1</v>
      </c>
      <c r="BE382">
        <v>0</v>
      </c>
      <c r="BF382">
        <v>0</v>
      </c>
      <c r="BG382">
        <v>0</v>
      </c>
      <c r="BH382">
        <v>1950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>"14:44:11.360"</f>
        <v>14:44:11.360</v>
      </c>
      <c r="CJ382">
        <v>2</v>
      </c>
      <c r="CK382">
        <v>2</v>
      </c>
      <c r="CL382">
        <v>0</v>
      </c>
      <c r="CM382">
        <v>2</v>
      </c>
      <c r="CN382">
        <v>0</v>
      </c>
      <c r="CO382">
        <v>6</v>
      </c>
      <c r="CP382" t="s">
        <v>119</v>
      </c>
      <c r="CQ382">
        <v>232</v>
      </c>
      <c r="CR382">
        <v>1</v>
      </c>
      <c r="CW382">
        <v>14964569</v>
      </c>
      <c r="CY382">
        <v>1</v>
      </c>
      <c r="CZ382">
        <v>0</v>
      </c>
      <c r="DA382">
        <v>0</v>
      </c>
      <c r="DB382">
        <v>0</v>
      </c>
      <c r="DC382">
        <v>0</v>
      </c>
      <c r="DD382">
        <v>1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"12/16/2021 14:44:11.584"</f>
        <v>12/16/2021 14:44:11.584</v>
      </c>
      <c r="C383" t="str">
        <f t="shared" si="16"/>
        <v>FFDFD3C0</v>
      </c>
      <c r="D383" t="s">
        <v>124</v>
      </c>
      <c r="E383">
        <v>5</v>
      </c>
      <c r="F383">
        <v>1005</v>
      </c>
      <c r="G383" t="s">
        <v>114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"14:44:11.359"</f>
        <v>14:44:11.359</v>
      </c>
      <c r="T383" t="str">
        <f>"14:44:10.959"</f>
        <v>14:44:10.959</v>
      </c>
      <c r="U383" t="str">
        <f t="shared" si="15"/>
        <v>A0F928</v>
      </c>
      <c r="V383">
        <v>0</v>
      </c>
      <c r="W383">
        <v>0</v>
      </c>
      <c r="X383">
        <v>2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1</v>
      </c>
      <c r="AI383" t="s">
        <v>315</v>
      </c>
      <c r="AJ383">
        <v>35.796439999999997</v>
      </c>
      <c r="AK383" t="s">
        <v>316</v>
      </c>
      <c r="AL383">
        <v>-83.968913999999998</v>
      </c>
      <c r="AM383">
        <v>25</v>
      </c>
      <c r="AN383">
        <v>1700</v>
      </c>
      <c r="AO383" t="s">
        <v>118</v>
      </c>
      <c r="AP383">
        <v>86</v>
      </c>
      <c r="AQ383">
        <v>103</v>
      </c>
      <c r="AR383">
        <v>-128</v>
      </c>
      <c r="AZ383">
        <v>300</v>
      </c>
      <c r="BA383">
        <v>1</v>
      </c>
      <c r="BB383" t="str">
        <f t="shared" si="17"/>
        <v xml:space="preserve">N162AM  </v>
      </c>
      <c r="BC383">
        <v>1</v>
      </c>
      <c r="BE383">
        <v>0</v>
      </c>
      <c r="BF383">
        <v>0</v>
      </c>
      <c r="BG383">
        <v>0</v>
      </c>
      <c r="BH383">
        <v>1950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>"14:44:11.360"</f>
        <v>14:44:11.360</v>
      </c>
      <c r="CJ383">
        <v>3</v>
      </c>
      <c r="CK383">
        <v>2</v>
      </c>
      <c r="CL383">
        <v>0</v>
      </c>
      <c r="CM383">
        <v>2</v>
      </c>
      <c r="CN383">
        <v>0</v>
      </c>
      <c r="CO383">
        <v>6</v>
      </c>
      <c r="CP383" t="s">
        <v>119</v>
      </c>
      <c r="CQ383">
        <v>232</v>
      </c>
      <c r="CR383">
        <v>1</v>
      </c>
      <c r="CW383">
        <v>14964569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"12/16/2021 14:44:11.584"</f>
        <v>12/16/2021 14:44:11.584</v>
      </c>
      <c r="C384" t="str">
        <f t="shared" si="16"/>
        <v>FFDFD3C0</v>
      </c>
      <c r="D384" t="s">
        <v>113</v>
      </c>
      <c r="E384">
        <v>8</v>
      </c>
      <c r="H384">
        <v>176</v>
      </c>
      <c r="I384" t="s">
        <v>114</v>
      </c>
      <c r="J384" t="s">
        <v>115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"14:44:11.359"</f>
        <v>14:44:11.359</v>
      </c>
      <c r="T384" t="str">
        <f>"14:44:10.959"</f>
        <v>14:44:10.959</v>
      </c>
      <c r="U384" t="str">
        <f t="shared" si="15"/>
        <v>A0F928</v>
      </c>
      <c r="V384">
        <v>0</v>
      </c>
      <c r="W384">
        <v>0</v>
      </c>
      <c r="X384">
        <v>2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1</v>
      </c>
      <c r="AI384" t="s">
        <v>315</v>
      </c>
      <c r="AJ384">
        <v>35.796439999999997</v>
      </c>
      <c r="AK384" t="s">
        <v>316</v>
      </c>
      <c r="AL384">
        <v>-83.968913999999998</v>
      </c>
      <c r="AM384">
        <v>25</v>
      </c>
      <c r="AN384">
        <v>1700</v>
      </c>
      <c r="AO384" t="s">
        <v>118</v>
      </c>
      <c r="AP384">
        <v>86</v>
      </c>
      <c r="AQ384">
        <v>103</v>
      </c>
      <c r="AR384">
        <v>-128</v>
      </c>
      <c r="AZ384">
        <v>300</v>
      </c>
      <c r="BA384">
        <v>1</v>
      </c>
      <c r="BB384" t="str">
        <f t="shared" si="17"/>
        <v xml:space="preserve">N162AM  </v>
      </c>
      <c r="BC384">
        <v>1</v>
      </c>
      <c r="BE384">
        <v>0</v>
      </c>
      <c r="BF384">
        <v>0</v>
      </c>
      <c r="BG384">
        <v>0</v>
      </c>
      <c r="BH384">
        <v>1950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>"14:44:11.360"</f>
        <v>14:44:11.360</v>
      </c>
      <c r="CJ384">
        <v>3</v>
      </c>
      <c r="CK384">
        <v>2</v>
      </c>
      <c r="CL384">
        <v>0</v>
      </c>
      <c r="CM384">
        <v>2</v>
      </c>
      <c r="CN384">
        <v>0</v>
      </c>
      <c r="CO384">
        <v>6</v>
      </c>
      <c r="CP384" t="s">
        <v>119</v>
      </c>
      <c r="CQ384">
        <v>232</v>
      </c>
      <c r="CR384">
        <v>1</v>
      </c>
      <c r="CW384">
        <v>14964569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"12/16/2021 14:44:11.584"</f>
        <v>12/16/2021 14:44:11.584</v>
      </c>
      <c r="C385" t="str">
        <f t="shared" si="16"/>
        <v>FFDFD3C0</v>
      </c>
      <c r="D385" t="s">
        <v>133</v>
      </c>
      <c r="E385">
        <v>44</v>
      </c>
      <c r="H385">
        <v>131</v>
      </c>
      <c r="I385" t="s">
        <v>134</v>
      </c>
      <c r="J385" t="s">
        <v>135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"14:44:11.359"</f>
        <v>14:44:11.359</v>
      </c>
      <c r="T385" t="str">
        <f>"14:44:10.959"</f>
        <v>14:44:10.959</v>
      </c>
      <c r="U385" t="str">
        <f t="shared" si="15"/>
        <v>A0F928</v>
      </c>
      <c r="V385">
        <v>0</v>
      </c>
      <c r="W385">
        <v>0</v>
      </c>
      <c r="X385">
        <v>2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1</v>
      </c>
      <c r="AI385" t="s">
        <v>315</v>
      </c>
      <c r="AJ385">
        <v>35.796439999999997</v>
      </c>
      <c r="AK385" t="s">
        <v>316</v>
      </c>
      <c r="AL385">
        <v>-83.968913999999998</v>
      </c>
      <c r="AM385">
        <v>25</v>
      </c>
      <c r="AN385">
        <v>1700</v>
      </c>
      <c r="AO385" t="s">
        <v>118</v>
      </c>
      <c r="AP385">
        <v>86</v>
      </c>
      <c r="AQ385">
        <v>103</v>
      </c>
      <c r="AR385">
        <v>-128</v>
      </c>
      <c r="AZ385">
        <v>300</v>
      </c>
      <c r="BA385">
        <v>1</v>
      </c>
      <c r="BB385" t="str">
        <f t="shared" si="17"/>
        <v xml:space="preserve">N162AM  </v>
      </c>
      <c r="BC385">
        <v>1</v>
      </c>
      <c r="BE385">
        <v>0</v>
      </c>
      <c r="BF385">
        <v>0</v>
      </c>
      <c r="BG385">
        <v>0</v>
      </c>
      <c r="BH385">
        <v>1950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>"14:44:11.360"</f>
        <v>14:44:11.360</v>
      </c>
      <c r="CJ385">
        <v>3</v>
      </c>
      <c r="CK385">
        <v>2</v>
      </c>
      <c r="CL385">
        <v>0</v>
      </c>
      <c r="CM385">
        <v>2</v>
      </c>
      <c r="CN385">
        <v>0</v>
      </c>
      <c r="CO385">
        <v>6</v>
      </c>
      <c r="CP385" t="s">
        <v>119</v>
      </c>
      <c r="CQ385">
        <v>232</v>
      </c>
      <c r="CR385">
        <v>1</v>
      </c>
      <c r="CW385">
        <v>14964569</v>
      </c>
      <c r="CY385">
        <v>1</v>
      </c>
      <c r="CZ385">
        <v>0</v>
      </c>
      <c r="DA385">
        <v>1</v>
      </c>
      <c r="DB385">
        <v>0</v>
      </c>
      <c r="DC385">
        <v>0</v>
      </c>
      <c r="DD385">
        <v>1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"12/16/2021 14:44:12.522"</f>
        <v>12/16/2021 14:44:12.522</v>
      </c>
      <c r="C386" t="str">
        <f t="shared" si="16"/>
        <v>FFDFD3C0</v>
      </c>
      <c r="D386" t="s">
        <v>124</v>
      </c>
      <c r="E386">
        <v>10</v>
      </c>
      <c r="F386">
        <v>1010</v>
      </c>
      <c r="G386" t="s">
        <v>130</v>
      </c>
      <c r="J386" t="s">
        <v>125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"14:44:12.281"</f>
        <v>14:44:12.281</v>
      </c>
      <c r="T386" t="str">
        <f>"14:44:11.881"</f>
        <v>14:44:11.881</v>
      </c>
      <c r="U386" t="str">
        <f t="shared" ref="U386:U449" si="18">"A0F928"</f>
        <v>A0F928</v>
      </c>
      <c r="V386">
        <v>0</v>
      </c>
      <c r="W386">
        <v>0</v>
      </c>
      <c r="X386">
        <v>2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1</v>
      </c>
      <c r="AI386" t="s">
        <v>317</v>
      </c>
      <c r="AJ386">
        <v>35.796911999999999</v>
      </c>
      <c r="AK386" t="s">
        <v>318</v>
      </c>
      <c r="AL386">
        <v>-83.968440999999999</v>
      </c>
      <c r="AM386">
        <v>25</v>
      </c>
      <c r="AN386">
        <v>1700</v>
      </c>
      <c r="AO386" t="s">
        <v>118</v>
      </c>
      <c r="AP386">
        <v>86</v>
      </c>
      <c r="AQ386">
        <v>103</v>
      </c>
      <c r="AR386">
        <v>-128</v>
      </c>
      <c r="AZ386">
        <v>300</v>
      </c>
      <c r="BA386">
        <v>1</v>
      </c>
      <c r="BB386" t="str">
        <f t="shared" si="17"/>
        <v xml:space="preserve">N162AM  </v>
      </c>
      <c r="BC386">
        <v>1</v>
      </c>
      <c r="BE386">
        <v>0</v>
      </c>
      <c r="BF386">
        <v>0</v>
      </c>
      <c r="BG386">
        <v>0</v>
      </c>
      <c r="BH386">
        <v>1975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>"14:44:12.284"</f>
        <v>14:44:12.284</v>
      </c>
      <c r="CJ386">
        <v>3</v>
      </c>
      <c r="CK386">
        <v>2</v>
      </c>
      <c r="CL386">
        <v>0</v>
      </c>
      <c r="CM386">
        <v>2</v>
      </c>
      <c r="CN386">
        <v>0</v>
      </c>
      <c r="CO386">
        <v>5</v>
      </c>
      <c r="CP386" t="s">
        <v>119</v>
      </c>
      <c r="CQ386">
        <v>232</v>
      </c>
      <c r="CR386">
        <v>1</v>
      </c>
      <c r="CW386">
        <v>14965986</v>
      </c>
      <c r="CY386">
        <v>1</v>
      </c>
      <c r="CZ386">
        <v>0</v>
      </c>
      <c r="DA386">
        <v>0</v>
      </c>
      <c r="DB386">
        <v>0</v>
      </c>
      <c r="DC386">
        <v>0</v>
      </c>
      <c r="DD386">
        <v>1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"12/16/2021 14:44:12.522"</f>
        <v>12/16/2021 14:44:12.522</v>
      </c>
      <c r="C387" t="str">
        <f t="shared" si="16"/>
        <v>FFDFD3C0</v>
      </c>
      <c r="D387" t="s">
        <v>124</v>
      </c>
      <c r="E387">
        <v>5</v>
      </c>
      <c r="F387">
        <v>1005</v>
      </c>
      <c r="G387" t="s">
        <v>114</v>
      </c>
      <c r="J387" t="s">
        <v>125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"14:44:12.281"</f>
        <v>14:44:12.281</v>
      </c>
      <c r="T387" t="str">
        <f>"14:44:11.881"</f>
        <v>14:44:11.881</v>
      </c>
      <c r="U387" t="str">
        <f t="shared" si="18"/>
        <v>A0F928</v>
      </c>
      <c r="V387">
        <v>0</v>
      </c>
      <c r="W387">
        <v>0</v>
      </c>
      <c r="X387">
        <v>2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1</v>
      </c>
      <c r="AI387" t="s">
        <v>317</v>
      </c>
      <c r="AJ387">
        <v>35.796911999999999</v>
      </c>
      <c r="AK387" t="s">
        <v>318</v>
      </c>
      <c r="AL387">
        <v>-83.968440999999999</v>
      </c>
      <c r="AM387">
        <v>25</v>
      </c>
      <c r="AN387">
        <v>1700</v>
      </c>
      <c r="AO387" t="s">
        <v>118</v>
      </c>
      <c r="AP387">
        <v>86</v>
      </c>
      <c r="AQ387">
        <v>103</v>
      </c>
      <c r="AR387">
        <v>-128</v>
      </c>
      <c r="AZ387">
        <v>300</v>
      </c>
      <c r="BA387">
        <v>1</v>
      </c>
      <c r="BB387" t="str">
        <f t="shared" si="17"/>
        <v xml:space="preserve">N162AM  </v>
      </c>
      <c r="BC387">
        <v>1</v>
      </c>
      <c r="BE387">
        <v>0</v>
      </c>
      <c r="BF387">
        <v>0</v>
      </c>
      <c r="BG387">
        <v>0</v>
      </c>
      <c r="BH387">
        <v>1975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>"14:44:12.284"</f>
        <v>14:44:12.284</v>
      </c>
      <c r="CJ387">
        <v>3</v>
      </c>
      <c r="CK387">
        <v>2</v>
      </c>
      <c r="CL387">
        <v>0</v>
      </c>
      <c r="CM387">
        <v>2</v>
      </c>
      <c r="CN387">
        <v>0</v>
      </c>
      <c r="CO387">
        <v>5</v>
      </c>
      <c r="CP387" t="s">
        <v>119</v>
      </c>
      <c r="CQ387">
        <v>232</v>
      </c>
      <c r="CR387">
        <v>1</v>
      </c>
      <c r="CW387">
        <v>14965986</v>
      </c>
      <c r="CY387">
        <v>1</v>
      </c>
      <c r="CZ387">
        <v>0</v>
      </c>
      <c r="DA387">
        <v>1</v>
      </c>
      <c r="DB387">
        <v>0</v>
      </c>
      <c r="DC387">
        <v>0</v>
      </c>
      <c r="DD387">
        <v>1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"12/16/2021 14:44:12.522"</f>
        <v>12/16/2021 14:44:12.522</v>
      </c>
      <c r="C388" t="str">
        <f t="shared" si="16"/>
        <v>FFDFD3C0</v>
      </c>
      <c r="D388" t="s">
        <v>113</v>
      </c>
      <c r="E388">
        <v>8</v>
      </c>
      <c r="H388">
        <v>176</v>
      </c>
      <c r="I388" t="s">
        <v>114</v>
      </c>
      <c r="J388" t="s">
        <v>115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"14:44:12.281"</f>
        <v>14:44:12.281</v>
      </c>
      <c r="T388" t="str">
        <f>"14:44:11.881"</f>
        <v>14:44:11.881</v>
      </c>
      <c r="U388" t="str">
        <f t="shared" si="18"/>
        <v>A0F928</v>
      </c>
      <c r="V388">
        <v>0</v>
      </c>
      <c r="W388">
        <v>0</v>
      </c>
      <c r="X388">
        <v>2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1</v>
      </c>
      <c r="AI388" t="s">
        <v>317</v>
      </c>
      <c r="AJ388">
        <v>35.796911999999999</v>
      </c>
      <c r="AK388" t="s">
        <v>318</v>
      </c>
      <c r="AL388">
        <v>-83.968440999999999</v>
      </c>
      <c r="AM388">
        <v>25</v>
      </c>
      <c r="AN388">
        <v>1700</v>
      </c>
      <c r="AO388" t="s">
        <v>118</v>
      </c>
      <c r="AP388">
        <v>86</v>
      </c>
      <c r="AQ388">
        <v>103</v>
      </c>
      <c r="AR388">
        <v>-128</v>
      </c>
      <c r="AZ388">
        <v>300</v>
      </c>
      <c r="BA388">
        <v>1</v>
      </c>
      <c r="BB388" t="str">
        <f t="shared" si="17"/>
        <v xml:space="preserve">N162AM  </v>
      </c>
      <c r="BC388">
        <v>1</v>
      </c>
      <c r="BE388">
        <v>0</v>
      </c>
      <c r="BF388">
        <v>0</v>
      </c>
      <c r="BG388">
        <v>0</v>
      </c>
      <c r="BH388">
        <v>1975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>"14:44:12.284"</f>
        <v>14:44:12.284</v>
      </c>
      <c r="CJ388">
        <v>3</v>
      </c>
      <c r="CK388">
        <v>2</v>
      </c>
      <c r="CL388">
        <v>0</v>
      </c>
      <c r="CM388">
        <v>2</v>
      </c>
      <c r="CN388">
        <v>0</v>
      </c>
      <c r="CO388">
        <v>5</v>
      </c>
      <c r="CP388" t="s">
        <v>119</v>
      </c>
      <c r="CQ388">
        <v>232</v>
      </c>
      <c r="CR388">
        <v>1</v>
      </c>
      <c r="CW388">
        <v>14965986</v>
      </c>
      <c r="CY388">
        <v>1</v>
      </c>
      <c r="CZ388">
        <v>0</v>
      </c>
      <c r="DA388">
        <v>1</v>
      </c>
      <c r="DB388">
        <v>0</v>
      </c>
      <c r="DC388">
        <v>0</v>
      </c>
      <c r="DD388">
        <v>1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"12/16/2021 14:44:12.537"</f>
        <v>12/16/2021 14:44:12.537</v>
      </c>
      <c r="C389" t="str">
        <f t="shared" si="16"/>
        <v>FFDFD3C0</v>
      </c>
      <c r="D389" t="s">
        <v>133</v>
      </c>
      <c r="E389">
        <v>44</v>
      </c>
      <c r="H389">
        <v>131</v>
      </c>
      <c r="I389" t="s">
        <v>134</v>
      </c>
      <c r="J389" t="s">
        <v>135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"14:44:12.281"</f>
        <v>14:44:12.281</v>
      </c>
      <c r="T389" t="str">
        <f>"14:44:11.881"</f>
        <v>14:44:11.881</v>
      </c>
      <c r="U389" t="str">
        <f t="shared" si="18"/>
        <v>A0F928</v>
      </c>
      <c r="V389">
        <v>0</v>
      </c>
      <c r="W389">
        <v>0</v>
      </c>
      <c r="X389">
        <v>2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1</v>
      </c>
      <c r="AI389" t="s">
        <v>317</v>
      </c>
      <c r="AJ389">
        <v>35.796911999999999</v>
      </c>
      <c r="AK389" t="s">
        <v>318</v>
      </c>
      <c r="AL389">
        <v>-83.968440999999999</v>
      </c>
      <c r="AM389">
        <v>25</v>
      </c>
      <c r="AN389">
        <v>1700</v>
      </c>
      <c r="AO389" t="s">
        <v>118</v>
      </c>
      <c r="AP389">
        <v>86</v>
      </c>
      <c r="AQ389">
        <v>103</v>
      </c>
      <c r="AR389">
        <v>-128</v>
      </c>
      <c r="AZ389">
        <v>300</v>
      </c>
      <c r="BA389">
        <v>1</v>
      </c>
      <c r="BB389" t="str">
        <f t="shared" si="17"/>
        <v xml:space="preserve">N162AM  </v>
      </c>
      <c r="BC389">
        <v>1</v>
      </c>
      <c r="BE389">
        <v>0</v>
      </c>
      <c r="BF389">
        <v>0</v>
      </c>
      <c r="BG389">
        <v>0</v>
      </c>
      <c r="BH389">
        <v>1975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>"14:44:12.284"</f>
        <v>14:44:12.284</v>
      </c>
      <c r="CJ389">
        <v>3</v>
      </c>
      <c r="CK389">
        <v>2</v>
      </c>
      <c r="CL389">
        <v>0</v>
      </c>
      <c r="CM389">
        <v>2</v>
      </c>
      <c r="CN389">
        <v>0</v>
      </c>
      <c r="CO389">
        <v>5</v>
      </c>
      <c r="CP389" t="s">
        <v>119</v>
      </c>
      <c r="CQ389">
        <v>232</v>
      </c>
      <c r="CR389">
        <v>1</v>
      </c>
      <c r="CW389">
        <v>14965986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1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"12/16/2021 14:44:13.412"</f>
        <v>12/16/2021 14:44:13.412</v>
      </c>
      <c r="C390" t="str">
        <f t="shared" si="16"/>
        <v>FFDFD3C0</v>
      </c>
      <c r="D390" t="s">
        <v>124</v>
      </c>
      <c r="E390">
        <v>10</v>
      </c>
      <c r="F390">
        <v>1010</v>
      </c>
      <c r="G390" t="s">
        <v>130</v>
      </c>
      <c r="J390" t="s">
        <v>125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"14:44:13.188"</f>
        <v>14:44:13.188</v>
      </c>
      <c r="T390" t="str">
        <f>"14:44:12.788"</f>
        <v>14:44:12.788</v>
      </c>
      <c r="U390" t="str">
        <f t="shared" si="18"/>
        <v>A0F928</v>
      </c>
      <c r="V390">
        <v>0</v>
      </c>
      <c r="W390">
        <v>0</v>
      </c>
      <c r="X390">
        <v>2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1</v>
      </c>
      <c r="AI390" t="s">
        <v>319</v>
      </c>
      <c r="AJ390">
        <v>35.797297999999998</v>
      </c>
      <c r="AK390" t="s">
        <v>320</v>
      </c>
      <c r="AL390">
        <v>-83.967990999999998</v>
      </c>
      <c r="AM390">
        <v>25</v>
      </c>
      <c r="AN390">
        <v>1700</v>
      </c>
      <c r="AO390" t="s">
        <v>118</v>
      </c>
      <c r="AP390">
        <v>86</v>
      </c>
      <c r="AQ390">
        <v>103</v>
      </c>
      <c r="AR390">
        <v>-192</v>
      </c>
      <c r="AZ390">
        <v>300</v>
      </c>
      <c r="BA390">
        <v>1</v>
      </c>
      <c r="BB390" t="str">
        <f t="shared" si="17"/>
        <v xml:space="preserve">N162AM  </v>
      </c>
      <c r="BC390">
        <v>1</v>
      </c>
      <c r="BE390">
        <v>0</v>
      </c>
      <c r="BF390">
        <v>0</v>
      </c>
      <c r="BG390">
        <v>0</v>
      </c>
      <c r="BH390">
        <v>1975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>"14:44:13.193"</f>
        <v>14:44:13.193</v>
      </c>
      <c r="CJ390">
        <v>3</v>
      </c>
      <c r="CK390">
        <v>2</v>
      </c>
      <c r="CL390">
        <v>0</v>
      </c>
      <c r="CM390">
        <v>2</v>
      </c>
      <c r="CN390">
        <v>0</v>
      </c>
      <c r="CO390">
        <v>5</v>
      </c>
      <c r="CP390" t="s">
        <v>119</v>
      </c>
      <c r="CQ390">
        <v>232</v>
      </c>
      <c r="CR390">
        <v>2</v>
      </c>
      <c r="CW390">
        <v>6163983</v>
      </c>
      <c r="CY390">
        <v>1</v>
      </c>
      <c r="CZ390">
        <v>0</v>
      </c>
      <c r="DA390">
        <v>0</v>
      </c>
      <c r="DB390">
        <v>0</v>
      </c>
      <c r="DC390">
        <v>0</v>
      </c>
      <c r="DD390">
        <v>1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"12/16/2021 14:44:13.412"</f>
        <v>12/16/2021 14:44:13.412</v>
      </c>
      <c r="C391" t="str">
        <f t="shared" si="16"/>
        <v>FFDFD3C0</v>
      </c>
      <c r="D391" t="s">
        <v>124</v>
      </c>
      <c r="E391">
        <v>5</v>
      </c>
      <c r="F391">
        <v>1005</v>
      </c>
      <c r="G391" t="s">
        <v>114</v>
      </c>
      <c r="J391" t="s">
        <v>125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"14:44:13.188"</f>
        <v>14:44:13.188</v>
      </c>
      <c r="T391" t="str">
        <f>"14:44:12.788"</f>
        <v>14:44:12.788</v>
      </c>
      <c r="U391" t="str">
        <f t="shared" si="18"/>
        <v>A0F928</v>
      </c>
      <c r="V391">
        <v>0</v>
      </c>
      <c r="W391">
        <v>0</v>
      </c>
      <c r="X391">
        <v>2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1</v>
      </c>
      <c r="AI391" t="s">
        <v>319</v>
      </c>
      <c r="AJ391">
        <v>35.797297999999998</v>
      </c>
      <c r="AK391" t="s">
        <v>320</v>
      </c>
      <c r="AL391">
        <v>-83.967990999999998</v>
      </c>
      <c r="AM391">
        <v>25</v>
      </c>
      <c r="AN391">
        <v>1700</v>
      </c>
      <c r="AO391" t="s">
        <v>118</v>
      </c>
      <c r="AP391">
        <v>86</v>
      </c>
      <c r="AQ391">
        <v>103</v>
      </c>
      <c r="AR391">
        <v>-192</v>
      </c>
      <c r="AZ391">
        <v>300</v>
      </c>
      <c r="BA391">
        <v>1</v>
      </c>
      <c r="BB391" t="str">
        <f t="shared" si="17"/>
        <v xml:space="preserve">N162AM  </v>
      </c>
      <c r="BC391">
        <v>1</v>
      </c>
      <c r="BE391">
        <v>0</v>
      </c>
      <c r="BF391">
        <v>0</v>
      </c>
      <c r="BG391">
        <v>0</v>
      </c>
      <c r="BH391">
        <v>1975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>"14:44:13.193"</f>
        <v>14:44:13.193</v>
      </c>
      <c r="CJ391">
        <v>3</v>
      </c>
      <c r="CK391">
        <v>2</v>
      </c>
      <c r="CL391">
        <v>0</v>
      </c>
      <c r="CM391">
        <v>2</v>
      </c>
      <c r="CN391">
        <v>0</v>
      </c>
      <c r="CO391">
        <v>5</v>
      </c>
      <c r="CP391" t="s">
        <v>119</v>
      </c>
      <c r="CQ391">
        <v>232</v>
      </c>
      <c r="CR391">
        <v>2</v>
      </c>
      <c r="CW391">
        <v>6163983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1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"12/16/2021 14:44:13.412"</f>
        <v>12/16/2021 14:44:13.412</v>
      </c>
      <c r="C392" t="str">
        <f t="shared" si="16"/>
        <v>FFDFD3C0</v>
      </c>
      <c r="D392" t="s">
        <v>113</v>
      </c>
      <c r="E392">
        <v>8</v>
      </c>
      <c r="H392">
        <v>176</v>
      </c>
      <c r="I392" t="s">
        <v>114</v>
      </c>
      <c r="J392" t="s">
        <v>115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"14:44:13.188"</f>
        <v>14:44:13.188</v>
      </c>
      <c r="T392" t="str">
        <f>"14:44:12.788"</f>
        <v>14:44:12.788</v>
      </c>
      <c r="U392" t="str">
        <f t="shared" si="18"/>
        <v>A0F928</v>
      </c>
      <c r="V392">
        <v>0</v>
      </c>
      <c r="W392">
        <v>0</v>
      </c>
      <c r="X392">
        <v>2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1</v>
      </c>
      <c r="AI392" t="s">
        <v>319</v>
      </c>
      <c r="AJ392">
        <v>35.797297999999998</v>
      </c>
      <c r="AK392" t="s">
        <v>320</v>
      </c>
      <c r="AL392">
        <v>-83.967990999999998</v>
      </c>
      <c r="AM392">
        <v>25</v>
      </c>
      <c r="AN392">
        <v>1700</v>
      </c>
      <c r="AO392" t="s">
        <v>118</v>
      </c>
      <c r="AP392">
        <v>86</v>
      </c>
      <c r="AQ392">
        <v>103</v>
      </c>
      <c r="AR392">
        <v>-192</v>
      </c>
      <c r="AZ392">
        <v>300</v>
      </c>
      <c r="BA392">
        <v>1</v>
      </c>
      <c r="BB392" t="str">
        <f t="shared" si="17"/>
        <v xml:space="preserve">N162AM  </v>
      </c>
      <c r="BC392">
        <v>1</v>
      </c>
      <c r="BE392">
        <v>0</v>
      </c>
      <c r="BF392">
        <v>0</v>
      </c>
      <c r="BG392">
        <v>0</v>
      </c>
      <c r="BH392">
        <v>1975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>"14:44:13.193"</f>
        <v>14:44:13.193</v>
      </c>
      <c r="CJ392">
        <v>3</v>
      </c>
      <c r="CK392">
        <v>2</v>
      </c>
      <c r="CL392">
        <v>0</v>
      </c>
      <c r="CM392">
        <v>2</v>
      </c>
      <c r="CN392">
        <v>0</v>
      </c>
      <c r="CO392">
        <v>5</v>
      </c>
      <c r="CP392" t="s">
        <v>119</v>
      </c>
      <c r="CQ392">
        <v>232</v>
      </c>
      <c r="CR392">
        <v>2</v>
      </c>
      <c r="CW392">
        <v>6163983</v>
      </c>
      <c r="CY392">
        <v>1</v>
      </c>
      <c r="CZ392">
        <v>0</v>
      </c>
      <c r="DA392">
        <v>1</v>
      </c>
      <c r="DB392">
        <v>0</v>
      </c>
      <c r="DC392">
        <v>0</v>
      </c>
      <c r="DD392">
        <v>1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"12/16/2021 14:44:13.475"</f>
        <v>12/16/2021 14:44:13.475</v>
      </c>
      <c r="C393" t="str">
        <f t="shared" si="16"/>
        <v>FFDFD3C0</v>
      </c>
      <c r="D393" t="s">
        <v>133</v>
      </c>
      <c r="E393">
        <v>44</v>
      </c>
      <c r="H393">
        <v>131</v>
      </c>
      <c r="I393" t="s">
        <v>134</v>
      </c>
      <c r="J393" t="s">
        <v>135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"14:44:13.188"</f>
        <v>14:44:13.188</v>
      </c>
      <c r="T393" t="str">
        <f>"14:44:12.788"</f>
        <v>14:44:12.788</v>
      </c>
      <c r="U393" t="str">
        <f t="shared" si="18"/>
        <v>A0F928</v>
      </c>
      <c r="V393">
        <v>0</v>
      </c>
      <c r="W393">
        <v>0</v>
      </c>
      <c r="X393">
        <v>2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1</v>
      </c>
      <c r="AI393" t="s">
        <v>319</v>
      </c>
      <c r="AJ393">
        <v>35.797297999999998</v>
      </c>
      <c r="AK393" t="s">
        <v>320</v>
      </c>
      <c r="AL393">
        <v>-83.967990999999998</v>
      </c>
      <c r="AM393">
        <v>25</v>
      </c>
      <c r="AN393">
        <v>1700</v>
      </c>
      <c r="AO393" t="s">
        <v>118</v>
      </c>
      <c r="AP393">
        <v>86</v>
      </c>
      <c r="AQ393">
        <v>103</v>
      </c>
      <c r="AR393">
        <v>-192</v>
      </c>
      <c r="AZ393">
        <v>300</v>
      </c>
      <c r="BA393">
        <v>1</v>
      </c>
      <c r="BB393" t="str">
        <f t="shared" si="17"/>
        <v xml:space="preserve">N162AM  </v>
      </c>
      <c r="BC393">
        <v>1</v>
      </c>
      <c r="BE393">
        <v>0</v>
      </c>
      <c r="BF393">
        <v>0</v>
      </c>
      <c r="BG393">
        <v>0</v>
      </c>
      <c r="BH393">
        <v>1975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>"14:44:13.193"</f>
        <v>14:44:13.193</v>
      </c>
      <c r="CJ393">
        <v>3</v>
      </c>
      <c r="CK393">
        <v>2</v>
      </c>
      <c r="CL393">
        <v>0</v>
      </c>
      <c r="CM393">
        <v>2</v>
      </c>
      <c r="CN393">
        <v>0</v>
      </c>
      <c r="CO393">
        <v>5</v>
      </c>
      <c r="CP393" t="s">
        <v>119</v>
      </c>
      <c r="CQ393">
        <v>232</v>
      </c>
      <c r="CR393">
        <v>2</v>
      </c>
      <c r="CW393">
        <v>6163983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1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"12/16/2021 14:44:14.416"</f>
        <v>12/16/2021 14:44:14.416</v>
      </c>
      <c r="C394" t="str">
        <f t="shared" si="16"/>
        <v>FFDFD3C0</v>
      </c>
      <c r="D394" t="s">
        <v>133</v>
      </c>
      <c r="E394">
        <v>44</v>
      </c>
      <c r="H394">
        <v>131</v>
      </c>
      <c r="I394" t="s">
        <v>134</v>
      </c>
      <c r="J394" t="s">
        <v>135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"14:44:14.211"</f>
        <v>14:44:14.211</v>
      </c>
      <c r="T394" t="str">
        <f>"14:44:13.811"</f>
        <v>14:44:13.811</v>
      </c>
      <c r="U394" t="str">
        <f t="shared" si="18"/>
        <v>A0F928</v>
      </c>
      <c r="V394">
        <v>0</v>
      </c>
      <c r="W394">
        <v>0</v>
      </c>
      <c r="X394">
        <v>2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1</v>
      </c>
      <c r="AI394" t="s">
        <v>321</v>
      </c>
      <c r="AJ394">
        <v>35.79777</v>
      </c>
      <c r="AK394" t="s">
        <v>322</v>
      </c>
      <c r="AL394">
        <v>-83.967476000000005</v>
      </c>
      <c r="AM394">
        <v>25</v>
      </c>
      <c r="AN394">
        <v>1700</v>
      </c>
      <c r="AO394" t="s">
        <v>118</v>
      </c>
      <c r="AP394">
        <v>87</v>
      </c>
      <c r="AQ394">
        <v>102</v>
      </c>
      <c r="AR394">
        <v>-192</v>
      </c>
      <c r="AZ394">
        <v>300</v>
      </c>
      <c r="BA394">
        <v>1</v>
      </c>
      <c r="BB394" t="str">
        <f t="shared" si="17"/>
        <v xml:space="preserve">N162AM  </v>
      </c>
      <c r="BC394">
        <v>1</v>
      </c>
      <c r="BE394">
        <v>0</v>
      </c>
      <c r="BF394">
        <v>0</v>
      </c>
      <c r="BG394">
        <v>0</v>
      </c>
      <c r="BH394">
        <v>1975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>"14:44:14.217"</f>
        <v>14:44:14.217</v>
      </c>
      <c r="CJ394">
        <v>3</v>
      </c>
      <c r="CK394">
        <v>2</v>
      </c>
      <c r="CL394">
        <v>0</v>
      </c>
      <c r="CM394">
        <v>2</v>
      </c>
      <c r="CN394">
        <v>0</v>
      </c>
      <c r="CO394">
        <v>5</v>
      </c>
      <c r="CP394" t="s">
        <v>119</v>
      </c>
      <c r="CQ394">
        <v>232</v>
      </c>
      <c r="CR394">
        <v>2</v>
      </c>
      <c r="CW394">
        <v>6165616</v>
      </c>
      <c r="CY394">
        <v>1</v>
      </c>
      <c r="CZ394">
        <v>0</v>
      </c>
      <c r="DA394">
        <v>0</v>
      </c>
      <c r="DB394">
        <v>0</v>
      </c>
      <c r="DC394">
        <v>0</v>
      </c>
      <c r="DD394">
        <v>1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"12/16/2021 14:44:14.400"</f>
        <v>12/16/2021 14:44:14.400</v>
      </c>
      <c r="C395" t="str">
        <f t="shared" si="16"/>
        <v>FFDFD3C0</v>
      </c>
      <c r="D395" t="s">
        <v>124</v>
      </c>
      <c r="E395">
        <v>10</v>
      </c>
      <c r="F395">
        <v>1010</v>
      </c>
      <c r="G395" t="s">
        <v>130</v>
      </c>
      <c r="J395" t="s">
        <v>125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"14:44:14.211"</f>
        <v>14:44:14.211</v>
      </c>
      <c r="T395" t="str">
        <f>"14:44:13.811"</f>
        <v>14:44:13.811</v>
      </c>
      <c r="U395" t="str">
        <f t="shared" si="18"/>
        <v>A0F928</v>
      </c>
      <c r="V395">
        <v>0</v>
      </c>
      <c r="W395">
        <v>0</v>
      </c>
      <c r="X395">
        <v>2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1</v>
      </c>
      <c r="AI395" t="s">
        <v>321</v>
      </c>
      <c r="AJ395">
        <v>35.79777</v>
      </c>
      <c r="AK395" t="s">
        <v>322</v>
      </c>
      <c r="AL395">
        <v>-83.967476000000005</v>
      </c>
      <c r="AM395">
        <v>25</v>
      </c>
      <c r="AN395">
        <v>1700</v>
      </c>
      <c r="AO395" t="s">
        <v>118</v>
      </c>
      <c r="AP395">
        <v>87</v>
      </c>
      <c r="AQ395">
        <v>102</v>
      </c>
      <c r="AR395">
        <v>-192</v>
      </c>
      <c r="AZ395">
        <v>300</v>
      </c>
      <c r="BA395">
        <v>1</v>
      </c>
      <c r="BB395" t="str">
        <f t="shared" si="17"/>
        <v xml:space="preserve">N162AM  </v>
      </c>
      <c r="BC395">
        <v>1</v>
      </c>
      <c r="BE395">
        <v>0</v>
      </c>
      <c r="BF395">
        <v>0</v>
      </c>
      <c r="BG395">
        <v>0</v>
      </c>
      <c r="BH395">
        <v>1975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>"14:44:14.217"</f>
        <v>14:44:14.217</v>
      </c>
      <c r="CJ395">
        <v>3</v>
      </c>
      <c r="CK395">
        <v>2</v>
      </c>
      <c r="CL395">
        <v>0</v>
      </c>
      <c r="CM395">
        <v>2</v>
      </c>
      <c r="CN395">
        <v>0</v>
      </c>
      <c r="CO395">
        <v>5</v>
      </c>
      <c r="CP395" t="s">
        <v>119</v>
      </c>
      <c r="CQ395">
        <v>232</v>
      </c>
      <c r="CR395">
        <v>2</v>
      </c>
      <c r="CW395">
        <v>6165616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1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"12/16/2021 14:44:14.416"</f>
        <v>12/16/2021 14:44:14.416</v>
      </c>
      <c r="C396" t="str">
        <f t="shared" ref="C396:C459" si="19">"FFDFD3C0"</f>
        <v>FFDFD3C0</v>
      </c>
      <c r="D396" t="s">
        <v>124</v>
      </c>
      <c r="E396">
        <v>5</v>
      </c>
      <c r="F396">
        <v>1005</v>
      </c>
      <c r="G396" t="s">
        <v>114</v>
      </c>
      <c r="J396" t="s">
        <v>125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"14:44:14.211"</f>
        <v>14:44:14.211</v>
      </c>
      <c r="T396" t="str">
        <f>"14:44:13.811"</f>
        <v>14:44:13.811</v>
      </c>
      <c r="U396" t="str">
        <f t="shared" si="18"/>
        <v>A0F928</v>
      </c>
      <c r="V396">
        <v>0</v>
      </c>
      <c r="W396">
        <v>0</v>
      </c>
      <c r="X396">
        <v>2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1</v>
      </c>
      <c r="AI396" t="s">
        <v>321</v>
      </c>
      <c r="AJ396">
        <v>35.79777</v>
      </c>
      <c r="AK396" t="s">
        <v>322</v>
      </c>
      <c r="AL396">
        <v>-83.967476000000005</v>
      </c>
      <c r="AM396">
        <v>25</v>
      </c>
      <c r="AN396">
        <v>1700</v>
      </c>
      <c r="AO396" t="s">
        <v>118</v>
      </c>
      <c r="AP396">
        <v>87</v>
      </c>
      <c r="AQ396">
        <v>102</v>
      </c>
      <c r="AR396">
        <v>-192</v>
      </c>
      <c r="AZ396">
        <v>300</v>
      </c>
      <c r="BA396">
        <v>1</v>
      </c>
      <c r="BB396" t="str">
        <f t="shared" ref="BB396:BB459" si="20">"N162AM  "</f>
        <v xml:space="preserve">N162AM  </v>
      </c>
      <c r="BC396">
        <v>1</v>
      </c>
      <c r="BE396">
        <v>0</v>
      </c>
      <c r="BF396">
        <v>0</v>
      </c>
      <c r="BG396">
        <v>0</v>
      </c>
      <c r="BH396">
        <v>1975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>"14:44:14.217"</f>
        <v>14:44:14.217</v>
      </c>
      <c r="CJ396">
        <v>3</v>
      </c>
      <c r="CK396">
        <v>2</v>
      </c>
      <c r="CL396">
        <v>0</v>
      </c>
      <c r="CM396">
        <v>2</v>
      </c>
      <c r="CN396">
        <v>0</v>
      </c>
      <c r="CO396">
        <v>5</v>
      </c>
      <c r="CP396" t="s">
        <v>119</v>
      </c>
      <c r="CQ396">
        <v>232</v>
      </c>
      <c r="CR396">
        <v>2</v>
      </c>
      <c r="CW396">
        <v>6165616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1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"12/16/2021 14:44:14.478"</f>
        <v>12/16/2021 14:44:14.478</v>
      </c>
      <c r="C397" t="str">
        <f t="shared" si="19"/>
        <v>FFDFD3C0</v>
      </c>
      <c r="D397" t="s">
        <v>113</v>
      </c>
      <c r="E397">
        <v>8</v>
      </c>
      <c r="H397">
        <v>176</v>
      </c>
      <c r="I397" t="s">
        <v>114</v>
      </c>
      <c r="J397" t="s">
        <v>115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"14:44:14.211"</f>
        <v>14:44:14.211</v>
      </c>
      <c r="T397" t="str">
        <f>"14:44:13.811"</f>
        <v>14:44:13.811</v>
      </c>
      <c r="U397" t="str">
        <f t="shared" si="18"/>
        <v>A0F928</v>
      </c>
      <c r="V397">
        <v>0</v>
      </c>
      <c r="W397">
        <v>0</v>
      </c>
      <c r="X397">
        <v>2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1</v>
      </c>
      <c r="AI397" t="s">
        <v>321</v>
      </c>
      <c r="AJ397">
        <v>35.79777</v>
      </c>
      <c r="AK397" t="s">
        <v>322</v>
      </c>
      <c r="AL397">
        <v>-83.967476000000005</v>
      </c>
      <c r="AM397">
        <v>25</v>
      </c>
      <c r="AN397">
        <v>1700</v>
      </c>
      <c r="AO397" t="s">
        <v>118</v>
      </c>
      <c r="AP397">
        <v>87</v>
      </c>
      <c r="AQ397">
        <v>102</v>
      </c>
      <c r="AR397">
        <v>-192</v>
      </c>
      <c r="AZ397">
        <v>300</v>
      </c>
      <c r="BA397">
        <v>1</v>
      </c>
      <c r="BB397" t="str">
        <f t="shared" si="20"/>
        <v xml:space="preserve">N162AM  </v>
      </c>
      <c r="BC397">
        <v>1</v>
      </c>
      <c r="BE397">
        <v>0</v>
      </c>
      <c r="BF397">
        <v>0</v>
      </c>
      <c r="BG397">
        <v>0</v>
      </c>
      <c r="BH397">
        <v>1975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>"14:44:14.217"</f>
        <v>14:44:14.217</v>
      </c>
      <c r="CJ397">
        <v>3</v>
      </c>
      <c r="CK397">
        <v>2</v>
      </c>
      <c r="CL397">
        <v>0</v>
      </c>
      <c r="CM397">
        <v>2</v>
      </c>
      <c r="CN397">
        <v>0</v>
      </c>
      <c r="CO397">
        <v>5</v>
      </c>
      <c r="CP397" t="s">
        <v>119</v>
      </c>
      <c r="CQ397">
        <v>232</v>
      </c>
      <c r="CR397">
        <v>2</v>
      </c>
      <c r="CW397">
        <v>6165616</v>
      </c>
      <c r="CY397">
        <v>1</v>
      </c>
      <c r="CZ397">
        <v>0</v>
      </c>
      <c r="DA397">
        <v>1</v>
      </c>
      <c r="DB397">
        <v>0</v>
      </c>
      <c r="DC397">
        <v>0</v>
      </c>
      <c r="DD397">
        <v>1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"12/16/2021 14:44:16.287"</f>
        <v>12/16/2021 14:44:16.287</v>
      </c>
      <c r="C398" t="str">
        <f t="shared" si="19"/>
        <v>FFDFD3C0</v>
      </c>
      <c r="D398" t="s">
        <v>124</v>
      </c>
      <c r="E398">
        <v>5</v>
      </c>
      <c r="F398">
        <v>1005</v>
      </c>
      <c r="G398" t="s">
        <v>114</v>
      </c>
      <c r="J398" t="s">
        <v>125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"14:44:16.070"</f>
        <v>14:44:16.070</v>
      </c>
      <c r="T398" t="str">
        <f>"14:44:15.070"</f>
        <v>14:44:15.070</v>
      </c>
      <c r="U398" t="str">
        <f t="shared" si="18"/>
        <v>A0F928</v>
      </c>
      <c r="V398">
        <v>0</v>
      </c>
      <c r="W398">
        <v>0</v>
      </c>
      <c r="X398">
        <v>2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1</v>
      </c>
      <c r="AI398" t="s">
        <v>122</v>
      </c>
      <c r="AJ398">
        <v>35.798670999999999</v>
      </c>
      <c r="AK398" t="s">
        <v>323</v>
      </c>
      <c r="AL398">
        <v>-83.966575000000006</v>
      </c>
      <c r="AM398">
        <v>25</v>
      </c>
      <c r="AN398">
        <v>1675</v>
      </c>
      <c r="AO398" t="s">
        <v>118</v>
      </c>
      <c r="AP398">
        <v>87</v>
      </c>
      <c r="AQ398">
        <v>102</v>
      </c>
      <c r="AR398">
        <v>-128</v>
      </c>
      <c r="AZ398">
        <v>300</v>
      </c>
      <c r="BA398">
        <v>1</v>
      </c>
      <c r="BB398" t="str">
        <f t="shared" si="20"/>
        <v xml:space="preserve">N162AM  </v>
      </c>
      <c r="BC398">
        <v>1</v>
      </c>
      <c r="BE398">
        <v>0</v>
      </c>
      <c r="BF398">
        <v>0</v>
      </c>
      <c r="BG398">
        <v>0</v>
      </c>
      <c r="BH398">
        <v>1950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>"14:44:16.075"</f>
        <v>14:44:16.075</v>
      </c>
      <c r="CJ398">
        <v>3</v>
      </c>
      <c r="CK398">
        <v>2</v>
      </c>
      <c r="CL398">
        <v>0</v>
      </c>
      <c r="CM398">
        <v>2</v>
      </c>
      <c r="CN398">
        <v>0</v>
      </c>
      <c r="CO398">
        <v>5</v>
      </c>
      <c r="CP398" t="s">
        <v>119</v>
      </c>
      <c r="CQ398">
        <v>232</v>
      </c>
      <c r="CR398">
        <v>1</v>
      </c>
      <c r="CW398">
        <v>14971901</v>
      </c>
      <c r="CY398">
        <v>1</v>
      </c>
      <c r="CZ398">
        <v>0</v>
      </c>
      <c r="DA398">
        <v>0</v>
      </c>
      <c r="DB398">
        <v>0</v>
      </c>
      <c r="DC398">
        <v>0</v>
      </c>
      <c r="DD398">
        <v>1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"12/16/2021 14:44:16.287"</f>
        <v>12/16/2021 14:44:16.287</v>
      </c>
      <c r="C399" t="str">
        <f t="shared" si="19"/>
        <v>FFDFD3C0</v>
      </c>
      <c r="D399" t="s">
        <v>133</v>
      </c>
      <c r="E399">
        <v>44</v>
      </c>
      <c r="H399">
        <v>131</v>
      </c>
      <c r="I399" t="s">
        <v>134</v>
      </c>
      <c r="J399" t="s">
        <v>135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"14:44:16.070"</f>
        <v>14:44:16.070</v>
      </c>
      <c r="T399" t="str">
        <f>"14:44:15.070"</f>
        <v>14:44:15.070</v>
      </c>
      <c r="U399" t="str">
        <f t="shared" si="18"/>
        <v>A0F928</v>
      </c>
      <c r="V399">
        <v>0</v>
      </c>
      <c r="W399">
        <v>0</v>
      </c>
      <c r="X399">
        <v>2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1</v>
      </c>
      <c r="AI399" t="s">
        <v>122</v>
      </c>
      <c r="AJ399">
        <v>35.798670999999999</v>
      </c>
      <c r="AK399" t="s">
        <v>323</v>
      </c>
      <c r="AL399">
        <v>-83.966575000000006</v>
      </c>
      <c r="AM399">
        <v>25</v>
      </c>
      <c r="AN399">
        <v>1675</v>
      </c>
      <c r="AO399" t="s">
        <v>118</v>
      </c>
      <c r="AP399">
        <v>87</v>
      </c>
      <c r="AQ399">
        <v>102</v>
      </c>
      <c r="AR399">
        <v>-128</v>
      </c>
      <c r="AZ399">
        <v>300</v>
      </c>
      <c r="BA399">
        <v>1</v>
      </c>
      <c r="BB399" t="str">
        <f t="shared" si="20"/>
        <v xml:space="preserve">N162AM  </v>
      </c>
      <c r="BC399">
        <v>1</v>
      </c>
      <c r="BE399">
        <v>0</v>
      </c>
      <c r="BF399">
        <v>0</v>
      </c>
      <c r="BG399">
        <v>0</v>
      </c>
      <c r="BH399">
        <v>1950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>"14:44:16.075"</f>
        <v>14:44:16.075</v>
      </c>
      <c r="CJ399">
        <v>3</v>
      </c>
      <c r="CK399">
        <v>2</v>
      </c>
      <c r="CL399">
        <v>0</v>
      </c>
      <c r="CM399">
        <v>2</v>
      </c>
      <c r="CN399">
        <v>0</v>
      </c>
      <c r="CO399">
        <v>5</v>
      </c>
      <c r="CP399" t="s">
        <v>119</v>
      </c>
      <c r="CQ399">
        <v>232</v>
      </c>
      <c r="CR399">
        <v>1</v>
      </c>
      <c r="CW399">
        <v>14971901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1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"12/16/2021 14:44:16.287"</f>
        <v>12/16/2021 14:44:16.287</v>
      </c>
      <c r="C400" t="str">
        <f t="shared" si="19"/>
        <v>FFDFD3C0</v>
      </c>
      <c r="D400" t="s">
        <v>113</v>
      </c>
      <c r="E400">
        <v>8</v>
      </c>
      <c r="H400">
        <v>176</v>
      </c>
      <c r="I400" t="s">
        <v>114</v>
      </c>
      <c r="J400" t="s">
        <v>115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"14:44:16.070"</f>
        <v>14:44:16.070</v>
      </c>
      <c r="T400" t="str">
        <f>"14:44:15.070"</f>
        <v>14:44:15.070</v>
      </c>
      <c r="U400" t="str">
        <f t="shared" si="18"/>
        <v>A0F928</v>
      </c>
      <c r="V400">
        <v>0</v>
      </c>
      <c r="W400">
        <v>0</v>
      </c>
      <c r="X400">
        <v>2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1</v>
      </c>
      <c r="AI400" t="s">
        <v>122</v>
      </c>
      <c r="AJ400">
        <v>35.798670999999999</v>
      </c>
      <c r="AK400" t="s">
        <v>323</v>
      </c>
      <c r="AL400">
        <v>-83.966575000000006</v>
      </c>
      <c r="AM400">
        <v>25</v>
      </c>
      <c r="AN400">
        <v>1675</v>
      </c>
      <c r="AO400" t="s">
        <v>118</v>
      </c>
      <c r="AP400">
        <v>87</v>
      </c>
      <c r="AQ400">
        <v>102</v>
      </c>
      <c r="AR400">
        <v>-128</v>
      </c>
      <c r="AZ400">
        <v>300</v>
      </c>
      <c r="BA400">
        <v>1</v>
      </c>
      <c r="BB400" t="str">
        <f t="shared" si="20"/>
        <v xml:space="preserve">N162AM  </v>
      </c>
      <c r="BC400">
        <v>1</v>
      </c>
      <c r="BE400">
        <v>0</v>
      </c>
      <c r="BF400">
        <v>0</v>
      </c>
      <c r="BG400">
        <v>0</v>
      </c>
      <c r="BH400">
        <v>1950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>"14:44:16.075"</f>
        <v>14:44:16.075</v>
      </c>
      <c r="CJ400">
        <v>3</v>
      </c>
      <c r="CK400">
        <v>2</v>
      </c>
      <c r="CL400">
        <v>0</v>
      </c>
      <c r="CM400">
        <v>2</v>
      </c>
      <c r="CN400">
        <v>0</v>
      </c>
      <c r="CO400">
        <v>5</v>
      </c>
      <c r="CP400" t="s">
        <v>119</v>
      </c>
      <c r="CQ400">
        <v>232</v>
      </c>
      <c r="CR400">
        <v>1</v>
      </c>
      <c r="CW400">
        <v>14971901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1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"12/16/2021 14:44:16.318"</f>
        <v>12/16/2021 14:44:16.318</v>
      </c>
      <c r="C401" t="str">
        <f t="shared" si="19"/>
        <v>FFDFD3C0</v>
      </c>
      <c r="D401" t="s">
        <v>124</v>
      </c>
      <c r="E401">
        <v>10</v>
      </c>
      <c r="F401">
        <v>1010</v>
      </c>
      <c r="G401" t="s">
        <v>130</v>
      </c>
      <c r="J401" t="s">
        <v>125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"14:44:16.070"</f>
        <v>14:44:16.070</v>
      </c>
      <c r="T401" t="str">
        <f>"14:44:15.070"</f>
        <v>14:44:15.070</v>
      </c>
      <c r="U401" t="str">
        <f t="shared" si="18"/>
        <v>A0F928</v>
      </c>
      <c r="V401">
        <v>0</v>
      </c>
      <c r="W401">
        <v>0</v>
      </c>
      <c r="X401">
        <v>2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1</v>
      </c>
      <c r="AI401" t="s">
        <v>122</v>
      </c>
      <c r="AJ401">
        <v>35.798670999999999</v>
      </c>
      <c r="AK401" t="s">
        <v>323</v>
      </c>
      <c r="AL401">
        <v>-83.966575000000006</v>
      </c>
      <c r="AM401">
        <v>25</v>
      </c>
      <c r="AN401">
        <v>1675</v>
      </c>
      <c r="AO401" t="s">
        <v>118</v>
      </c>
      <c r="AP401">
        <v>87</v>
      </c>
      <c r="AQ401">
        <v>102</v>
      </c>
      <c r="AR401">
        <v>-128</v>
      </c>
      <c r="AZ401">
        <v>300</v>
      </c>
      <c r="BA401">
        <v>1</v>
      </c>
      <c r="BB401" t="str">
        <f t="shared" si="20"/>
        <v xml:space="preserve">N162AM  </v>
      </c>
      <c r="BC401">
        <v>1</v>
      </c>
      <c r="BE401">
        <v>0</v>
      </c>
      <c r="BF401">
        <v>0</v>
      </c>
      <c r="BG401">
        <v>0</v>
      </c>
      <c r="BH401">
        <v>1950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>"14:44:16.075"</f>
        <v>14:44:16.075</v>
      </c>
      <c r="CJ401">
        <v>3</v>
      </c>
      <c r="CK401">
        <v>2</v>
      </c>
      <c r="CL401">
        <v>0</v>
      </c>
      <c r="CM401">
        <v>2</v>
      </c>
      <c r="CN401">
        <v>0</v>
      </c>
      <c r="CO401">
        <v>5</v>
      </c>
      <c r="CP401" t="s">
        <v>119</v>
      </c>
      <c r="CQ401">
        <v>232</v>
      </c>
      <c r="CR401">
        <v>1</v>
      </c>
      <c r="CW401">
        <v>14971901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1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"12/16/2021 14:44:17.396"</f>
        <v>12/16/2021 14:44:17.396</v>
      </c>
      <c r="C402" t="str">
        <f t="shared" si="19"/>
        <v>FFDFD3C0</v>
      </c>
      <c r="D402" t="s">
        <v>113</v>
      </c>
      <c r="E402">
        <v>8</v>
      </c>
      <c r="H402">
        <v>176</v>
      </c>
      <c r="I402" t="s">
        <v>114</v>
      </c>
      <c r="J402" t="s">
        <v>115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"14:44:17.156"</f>
        <v>14:44:17.156</v>
      </c>
      <c r="T402" t="str">
        <f>"14:44:16.656"</f>
        <v>14:44:16.656</v>
      </c>
      <c r="U402" t="str">
        <f t="shared" si="18"/>
        <v>A0F928</v>
      </c>
      <c r="V402">
        <v>0</v>
      </c>
      <c r="W402">
        <v>0</v>
      </c>
      <c r="X402">
        <v>2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1</v>
      </c>
      <c r="AI402" t="s">
        <v>324</v>
      </c>
      <c r="AJ402">
        <v>35.799185999999999</v>
      </c>
      <c r="AK402" t="s">
        <v>325</v>
      </c>
      <c r="AL402">
        <v>-83.965995000000007</v>
      </c>
      <c r="AM402">
        <v>25</v>
      </c>
      <c r="AN402">
        <v>1675</v>
      </c>
      <c r="AO402" t="s">
        <v>118</v>
      </c>
      <c r="AP402">
        <v>88</v>
      </c>
      <c r="AQ402">
        <v>101</v>
      </c>
      <c r="AR402">
        <v>-64</v>
      </c>
      <c r="AZ402">
        <v>300</v>
      </c>
      <c r="BA402">
        <v>1</v>
      </c>
      <c r="BB402" t="str">
        <f t="shared" si="20"/>
        <v xml:space="preserve">N162AM  </v>
      </c>
      <c r="BC402">
        <v>1</v>
      </c>
      <c r="BE402">
        <v>0</v>
      </c>
      <c r="BF402">
        <v>0</v>
      </c>
      <c r="BG402">
        <v>0</v>
      </c>
      <c r="BH402">
        <v>1950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>"14:44:17.163"</f>
        <v>14:44:17.163</v>
      </c>
      <c r="CJ402">
        <v>3</v>
      </c>
      <c r="CK402">
        <v>2</v>
      </c>
      <c r="CL402">
        <v>0</v>
      </c>
      <c r="CM402">
        <v>2</v>
      </c>
      <c r="CN402">
        <v>0</v>
      </c>
      <c r="CO402">
        <v>5</v>
      </c>
      <c r="CP402" t="s">
        <v>119</v>
      </c>
      <c r="CQ402">
        <v>232</v>
      </c>
      <c r="CR402">
        <v>1</v>
      </c>
      <c r="CW402">
        <v>14973589</v>
      </c>
      <c r="CY402">
        <v>1</v>
      </c>
      <c r="CZ402">
        <v>0</v>
      </c>
      <c r="DA402">
        <v>0</v>
      </c>
      <c r="DB402">
        <v>0</v>
      </c>
      <c r="DC402">
        <v>0</v>
      </c>
      <c r="DD402">
        <v>1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"12/16/2021 14:44:17.396"</f>
        <v>12/16/2021 14:44:17.396</v>
      </c>
      <c r="C403" t="str">
        <f t="shared" si="19"/>
        <v>FFDFD3C0</v>
      </c>
      <c r="D403" t="s">
        <v>124</v>
      </c>
      <c r="E403">
        <v>10</v>
      </c>
      <c r="F403">
        <v>1010</v>
      </c>
      <c r="G403" t="s">
        <v>130</v>
      </c>
      <c r="J403" t="s">
        <v>125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"14:44:17.156"</f>
        <v>14:44:17.156</v>
      </c>
      <c r="T403" t="str">
        <f>"14:44:16.656"</f>
        <v>14:44:16.656</v>
      </c>
      <c r="U403" t="str">
        <f t="shared" si="18"/>
        <v>A0F928</v>
      </c>
      <c r="V403">
        <v>0</v>
      </c>
      <c r="W403">
        <v>0</v>
      </c>
      <c r="X403">
        <v>2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1</v>
      </c>
      <c r="AI403" t="s">
        <v>324</v>
      </c>
      <c r="AJ403">
        <v>35.799185999999999</v>
      </c>
      <c r="AK403" t="s">
        <v>325</v>
      </c>
      <c r="AL403">
        <v>-83.965995000000007</v>
      </c>
      <c r="AM403">
        <v>25</v>
      </c>
      <c r="AN403">
        <v>1675</v>
      </c>
      <c r="AO403" t="s">
        <v>118</v>
      </c>
      <c r="AP403">
        <v>88</v>
      </c>
      <c r="AQ403">
        <v>101</v>
      </c>
      <c r="AR403">
        <v>-64</v>
      </c>
      <c r="AZ403">
        <v>300</v>
      </c>
      <c r="BA403">
        <v>1</v>
      </c>
      <c r="BB403" t="str">
        <f t="shared" si="20"/>
        <v xml:space="preserve">N162AM  </v>
      </c>
      <c r="BC403">
        <v>1</v>
      </c>
      <c r="BE403">
        <v>0</v>
      </c>
      <c r="BF403">
        <v>0</v>
      </c>
      <c r="BG403">
        <v>0</v>
      </c>
      <c r="BH403">
        <v>1950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>"14:44:17.163"</f>
        <v>14:44:17.163</v>
      </c>
      <c r="CJ403">
        <v>3</v>
      </c>
      <c r="CK403">
        <v>2</v>
      </c>
      <c r="CL403">
        <v>0</v>
      </c>
      <c r="CM403">
        <v>2</v>
      </c>
      <c r="CN403">
        <v>0</v>
      </c>
      <c r="CO403">
        <v>5</v>
      </c>
      <c r="CP403" t="s">
        <v>119</v>
      </c>
      <c r="CQ403">
        <v>232</v>
      </c>
      <c r="CR403">
        <v>1</v>
      </c>
      <c r="CW403">
        <v>14973589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1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"12/16/2021 14:44:17.396"</f>
        <v>12/16/2021 14:44:17.396</v>
      </c>
      <c r="C404" t="str">
        <f t="shared" si="19"/>
        <v>FFDFD3C0</v>
      </c>
      <c r="D404" t="s">
        <v>124</v>
      </c>
      <c r="E404">
        <v>5</v>
      </c>
      <c r="F404">
        <v>1005</v>
      </c>
      <c r="G404" t="s">
        <v>114</v>
      </c>
      <c r="J404" t="s">
        <v>125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"14:44:17.156"</f>
        <v>14:44:17.156</v>
      </c>
      <c r="T404" t="str">
        <f>"14:44:16.656"</f>
        <v>14:44:16.656</v>
      </c>
      <c r="U404" t="str">
        <f t="shared" si="18"/>
        <v>A0F928</v>
      </c>
      <c r="V404">
        <v>0</v>
      </c>
      <c r="W404">
        <v>0</v>
      </c>
      <c r="X404">
        <v>2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1</v>
      </c>
      <c r="AI404" t="s">
        <v>324</v>
      </c>
      <c r="AJ404">
        <v>35.799185999999999</v>
      </c>
      <c r="AK404" t="s">
        <v>325</v>
      </c>
      <c r="AL404">
        <v>-83.965995000000007</v>
      </c>
      <c r="AM404">
        <v>25</v>
      </c>
      <c r="AN404">
        <v>1675</v>
      </c>
      <c r="AO404" t="s">
        <v>118</v>
      </c>
      <c r="AP404">
        <v>88</v>
      </c>
      <c r="AQ404">
        <v>101</v>
      </c>
      <c r="AR404">
        <v>-64</v>
      </c>
      <c r="AZ404">
        <v>300</v>
      </c>
      <c r="BA404">
        <v>1</v>
      </c>
      <c r="BB404" t="str">
        <f t="shared" si="20"/>
        <v xml:space="preserve">N162AM  </v>
      </c>
      <c r="BC404">
        <v>1</v>
      </c>
      <c r="BE404">
        <v>0</v>
      </c>
      <c r="BF404">
        <v>0</v>
      </c>
      <c r="BG404">
        <v>0</v>
      </c>
      <c r="BH404">
        <v>1950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>"14:44:17.163"</f>
        <v>14:44:17.163</v>
      </c>
      <c r="CJ404">
        <v>3</v>
      </c>
      <c r="CK404">
        <v>2</v>
      </c>
      <c r="CL404">
        <v>0</v>
      </c>
      <c r="CM404">
        <v>2</v>
      </c>
      <c r="CN404">
        <v>0</v>
      </c>
      <c r="CO404">
        <v>5</v>
      </c>
      <c r="CP404" t="s">
        <v>119</v>
      </c>
      <c r="CQ404">
        <v>232</v>
      </c>
      <c r="CR404">
        <v>1</v>
      </c>
      <c r="CW404">
        <v>14973589</v>
      </c>
      <c r="CY404">
        <v>1</v>
      </c>
      <c r="CZ404">
        <v>0</v>
      </c>
      <c r="DA404">
        <v>1</v>
      </c>
      <c r="DB404">
        <v>0</v>
      </c>
      <c r="DC404">
        <v>0</v>
      </c>
      <c r="DD404">
        <v>1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"12/16/2021 14:44:17.396"</f>
        <v>12/16/2021 14:44:17.396</v>
      </c>
      <c r="C405" t="str">
        <f t="shared" si="19"/>
        <v>FFDFD3C0</v>
      </c>
      <c r="D405" t="s">
        <v>133</v>
      </c>
      <c r="E405">
        <v>44</v>
      </c>
      <c r="H405">
        <v>131</v>
      </c>
      <c r="I405" t="s">
        <v>134</v>
      </c>
      <c r="J405" t="s">
        <v>135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"14:44:17.156"</f>
        <v>14:44:17.156</v>
      </c>
      <c r="T405" t="str">
        <f>"14:44:16.656"</f>
        <v>14:44:16.656</v>
      </c>
      <c r="U405" t="str">
        <f t="shared" si="18"/>
        <v>A0F928</v>
      </c>
      <c r="V405">
        <v>0</v>
      </c>
      <c r="W405">
        <v>0</v>
      </c>
      <c r="X405">
        <v>2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1</v>
      </c>
      <c r="AI405" t="s">
        <v>324</v>
      </c>
      <c r="AJ405">
        <v>35.799185999999999</v>
      </c>
      <c r="AK405" t="s">
        <v>325</v>
      </c>
      <c r="AL405">
        <v>-83.965995000000007</v>
      </c>
      <c r="AM405">
        <v>25</v>
      </c>
      <c r="AN405">
        <v>1675</v>
      </c>
      <c r="AO405" t="s">
        <v>118</v>
      </c>
      <c r="AP405">
        <v>88</v>
      </c>
      <c r="AQ405">
        <v>101</v>
      </c>
      <c r="AR405">
        <v>-64</v>
      </c>
      <c r="AZ405">
        <v>300</v>
      </c>
      <c r="BA405">
        <v>1</v>
      </c>
      <c r="BB405" t="str">
        <f t="shared" si="20"/>
        <v xml:space="preserve">N162AM  </v>
      </c>
      <c r="BC405">
        <v>1</v>
      </c>
      <c r="BE405">
        <v>0</v>
      </c>
      <c r="BF405">
        <v>0</v>
      </c>
      <c r="BG405">
        <v>0</v>
      </c>
      <c r="BH405">
        <v>1950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>"14:44:17.163"</f>
        <v>14:44:17.163</v>
      </c>
      <c r="CJ405">
        <v>3</v>
      </c>
      <c r="CK405">
        <v>2</v>
      </c>
      <c r="CL405">
        <v>0</v>
      </c>
      <c r="CM405">
        <v>2</v>
      </c>
      <c r="CN405">
        <v>0</v>
      </c>
      <c r="CO405">
        <v>5</v>
      </c>
      <c r="CP405" t="s">
        <v>119</v>
      </c>
      <c r="CQ405">
        <v>232</v>
      </c>
      <c r="CR405">
        <v>1</v>
      </c>
      <c r="CW405">
        <v>14973589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1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"12/16/2021 14:44:18.459"</f>
        <v>12/16/2021 14:44:18.459</v>
      </c>
      <c r="C406" t="str">
        <f t="shared" si="19"/>
        <v>FFDFD3C0</v>
      </c>
      <c r="D406" t="s">
        <v>133</v>
      </c>
      <c r="E406">
        <v>44</v>
      </c>
      <c r="H406">
        <v>131</v>
      </c>
      <c r="I406" t="s">
        <v>134</v>
      </c>
      <c r="J406" t="s">
        <v>135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"14:44:18.227"</f>
        <v>14:44:18.227</v>
      </c>
      <c r="T406" t="str">
        <f>"14:44:17.727"</f>
        <v>14:44:17.727</v>
      </c>
      <c r="U406" t="str">
        <f t="shared" si="18"/>
        <v>A0F928</v>
      </c>
      <c r="V406">
        <v>0</v>
      </c>
      <c r="W406">
        <v>0</v>
      </c>
      <c r="X406">
        <v>2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1</v>
      </c>
      <c r="AI406" t="s">
        <v>326</v>
      </c>
      <c r="AJ406">
        <v>35.799636999999997</v>
      </c>
      <c r="AK406" t="s">
        <v>327</v>
      </c>
      <c r="AL406">
        <v>-83.965479999999999</v>
      </c>
      <c r="AM406">
        <v>25</v>
      </c>
      <c r="AN406">
        <v>1675</v>
      </c>
      <c r="AO406" t="s">
        <v>118</v>
      </c>
      <c r="AP406">
        <v>88</v>
      </c>
      <c r="AQ406">
        <v>100</v>
      </c>
      <c r="AR406">
        <v>-64</v>
      </c>
      <c r="AZ406">
        <v>300</v>
      </c>
      <c r="BA406">
        <v>1</v>
      </c>
      <c r="BB406" t="str">
        <f t="shared" si="20"/>
        <v xml:space="preserve">N162AM  </v>
      </c>
      <c r="BC406">
        <v>1</v>
      </c>
      <c r="BE406">
        <v>0</v>
      </c>
      <c r="BF406">
        <v>0</v>
      </c>
      <c r="BG406">
        <v>0</v>
      </c>
      <c r="BH406">
        <v>1950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>"14:44:18.227"</f>
        <v>14:44:18.227</v>
      </c>
      <c r="CJ406">
        <v>3</v>
      </c>
      <c r="CK406">
        <v>2</v>
      </c>
      <c r="CL406">
        <v>0</v>
      </c>
      <c r="CM406">
        <v>2</v>
      </c>
      <c r="CN406">
        <v>0</v>
      </c>
      <c r="CO406">
        <v>5</v>
      </c>
      <c r="CP406" t="s">
        <v>119</v>
      </c>
      <c r="CQ406">
        <v>232</v>
      </c>
      <c r="CR406">
        <v>2</v>
      </c>
      <c r="CW406">
        <v>6171806</v>
      </c>
      <c r="CY406">
        <v>1</v>
      </c>
      <c r="CZ406">
        <v>0</v>
      </c>
      <c r="DA406">
        <v>0</v>
      </c>
      <c r="DB406">
        <v>0</v>
      </c>
      <c r="DC406">
        <v>0</v>
      </c>
      <c r="DD406">
        <v>1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"12/16/2021 14:44:18.459"</f>
        <v>12/16/2021 14:44:18.459</v>
      </c>
      <c r="C407" t="str">
        <f t="shared" si="19"/>
        <v>FFDFD3C0</v>
      </c>
      <c r="D407" t="s">
        <v>113</v>
      </c>
      <c r="E407">
        <v>8</v>
      </c>
      <c r="H407">
        <v>176</v>
      </c>
      <c r="I407" t="s">
        <v>114</v>
      </c>
      <c r="J407" t="s">
        <v>115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"14:44:18.227"</f>
        <v>14:44:18.227</v>
      </c>
      <c r="T407" t="str">
        <f>"14:44:17.727"</f>
        <v>14:44:17.727</v>
      </c>
      <c r="U407" t="str">
        <f t="shared" si="18"/>
        <v>A0F928</v>
      </c>
      <c r="V407">
        <v>0</v>
      </c>
      <c r="W407">
        <v>0</v>
      </c>
      <c r="X407">
        <v>2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1</v>
      </c>
      <c r="AI407" t="s">
        <v>326</v>
      </c>
      <c r="AJ407">
        <v>35.799636999999997</v>
      </c>
      <c r="AK407" t="s">
        <v>327</v>
      </c>
      <c r="AL407">
        <v>-83.965479999999999</v>
      </c>
      <c r="AM407">
        <v>25</v>
      </c>
      <c r="AN407">
        <v>1675</v>
      </c>
      <c r="AO407" t="s">
        <v>118</v>
      </c>
      <c r="AP407">
        <v>88</v>
      </c>
      <c r="AQ407">
        <v>100</v>
      </c>
      <c r="AR407">
        <v>-64</v>
      </c>
      <c r="AZ407">
        <v>300</v>
      </c>
      <c r="BA407">
        <v>1</v>
      </c>
      <c r="BB407" t="str">
        <f t="shared" si="20"/>
        <v xml:space="preserve">N162AM  </v>
      </c>
      <c r="BC407">
        <v>1</v>
      </c>
      <c r="BE407">
        <v>0</v>
      </c>
      <c r="BF407">
        <v>0</v>
      </c>
      <c r="BG407">
        <v>0</v>
      </c>
      <c r="BH407">
        <v>1950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>"14:44:18.227"</f>
        <v>14:44:18.227</v>
      </c>
      <c r="CJ407">
        <v>3</v>
      </c>
      <c r="CK407">
        <v>2</v>
      </c>
      <c r="CL407">
        <v>0</v>
      </c>
      <c r="CM407">
        <v>2</v>
      </c>
      <c r="CN407">
        <v>0</v>
      </c>
      <c r="CO407">
        <v>5</v>
      </c>
      <c r="CP407" t="s">
        <v>119</v>
      </c>
      <c r="CQ407">
        <v>232</v>
      </c>
      <c r="CR407">
        <v>2</v>
      </c>
      <c r="CW407">
        <v>6171806</v>
      </c>
      <c r="CY407">
        <v>1</v>
      </c>
      <c r="CZ407">
        <v>0</v>
      </c>
      <c r="DA407">
        <v>1</v>
      </c>
      <c r="DB407">
        <v>0</v>
      </c>
      <c r="DC407">
        <v>0</v>
      </c>
      <c r="DD407">
        <v>1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"12/16/2021 14:44:18.459"</f>
        <v>12/16/2021 14:44:18.459</v>
      </c>
      <c r="C408" t="str">
        <f t="shared" si="19"/>
        <v>FFDFD3C0</v>
      </c>
      <c r="D408" t="s">
        <v>124</v>
      </c>
      <c r="E408">
        <v>10</v>
      </c>
      <c r="F408">
        <v>1010</v>
      </c>
      <c r="G408" t="s">
        <v>130</v>
      </c>
      <c r="J408" t="s">
        <v>125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"14:44:18.227"</f>
        <v>14:44:18.227</v>
      </c>
      <c r="T408" t="str">
        <f>"14:44:17.727"</f>
        <v>14:44:17.727</v>
      </c>
      <c r="U408" t="str">
        <f t="shared" si="18"/>
        <v>A0F928</v>
      </c>
      <c r="V408">
        <v>0</v>
      </c>
      <c r="W408">
        <v>0</v>
      </c>
      <c r="X408">
        <v>2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1</v>
      </c>
      <c r="AI408" t="s">
        <v>326</v>
      </c>
      <c r="AJ408">
        <v>35.799636999999997</v>
      </c>
      <c r="AK408" t="s">
        <v>327</v>
      </c>
      <c r="AL408">
        <v>-83.965479999999999</v>
      </c>
      <c r="AM408">
        <v>25</v>
      </c>
      <c r="AN408">
        <v>1675</v>
      </c>
      <c r="AO408" t="s">
        <v>118</v>
      </c>
      <c r="AP408">
        <v>88</v>
      </c>
      <c r="AQ408">
        <v>100</v>
      </c>
      <c r="AR408">
        <v>-64</v>
      </c>
      <c r="AZ408">
        <v>300</v>
      </c>
      <c r="BA408">
        <v>1</v>
      </c>
      <c r="BB408" t="str">
        <f t="shared" si="20"/>
        <v xml:space="preserve">N162AM  </v>
      </c>
      <c r="BC408">
        <v>1</v>
      </c>
      <c r="BE408">
        <v>0</v>
      </c>
      <c r="BF408">
        <v>0</v>
      </c>
      <c r="BG408">
        <v>0</v>
      </c>
      <c r="BH408">
        <v>1950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>"14:44:18.227"</f>
        <v>14:44:18.227</v>
      </c>
      <c r="CJ408">
        <v>3</v>
      </c>
      <c r="CK408">
        <v>2</v>
      </c>
      <c r="CL408">
        <v>0</v>
      </c>
      <c r="CM408">
        <v>2</v>
      </c>
      <c r="CN408">
        <v>0</v>
      </c>
      <c r="CO408">
        <v>5</v>
      </c>
      <c r="CP408" t="s">
        <v>119</v>
      </c>
      <c r="CQ408">
        <v>232</v>
      </c>
      <c r="CR408">
        <v>2</v>
      </c>
      <c r="CW408">
        <v>6171806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1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"12/16/2021 14:44:18.459"</f>
        <v>12/16/2021 14:44:18.459</v>
      </c>
      <c r="C409" t="str">
        <f t="shared" si="19"/>
        <v>FFDFD3C0</v>
      </c>
      <c r="D409" t="s">
        <v>124</v>
      </c>
      <c r="E409">
        <v>5</v>
      </c>
      <c r="F409">
        <v>1005</v>
      </c>
      <c r="G409" t="s">
        <v>114</v>
      </c>
      <c r="J409" t="s">
        <v>125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"14:44:18.227"</f>
        <v>14:44:18.227</v>
      </c>
      <c r="T409" t="str">
        <f>"14:44:17.727"</f>
        <v>14:44:17.727</v>
      </c>
      <c r="U409" t="str">
        <f t="shared" si="18"/>
        <v>A0F928</v>
      </c>
      <c r="V409">
        <v>0</v>
      </c>
      <c r="W409">
        <v>0</v>
      </c>
      <c r="X409">
        <v>2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1</v>
      </c>
      <c r="AI409" t="s">
        <v>326</v>
      </c>
      <c r="AJ409">
        <v>35.799636999999997</v>
      </c>
      <c r="AK409" t="s">
        <v>327</v>
      </c>
      <c r="AL409">
        <v>-83.965479999999999</v>
      </c>
      <c r="AM409">
        <v>25</v>
      </c>
      <c r="AN409">
        <v>1675</v>
      </c>
      <c r="AO409" t="s">
        <v>118</v>
      </c>
      <c r="AP409">
        <v>88</v>
      </c>
      <c r="AQ409">
        <v>100</v>
      </c>
      <c r="AR409">
        <v>-64</v>
      </c>
      <c r="AZ409">
        <v>300</v>
      </c>
      <c r="BA409">
        <v>1</v>
      </c>
      <c r="BB409" t="str">
        <f t="shared" si="20"/>
        <v xml:space="preserve">N162AM  </v>
      </c>
      <c r="BC409">
        <v>1</v>
      </c>
      <c r="BE409">
        <v>0</v>
      </c>
      <c r="BF409">
        <v>0</v>
      </c>
      <c r="BG409">
        <v>0</v>
      </c>
      <c r="BH409">
        <v>1950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>"14:44:18.227"</f>
        <v>14:44:18.227</v>
      </c>
      <c r="CJ409">
        <v>3</v>
      </c>
      <c r="CK409">
        <v>2</v>
      </c>
      <c r="CL409">
        <v>0</v>
      </c>
      <c r="CM409">
        <v>2</v>
      </c>
      <c r="CN409">
        <v>0</v>
      </c>
      <c r="CO409">
        <v>5</v>
      </c>
      <c r="CP409" t="s">
        <v>119</v>
      </c>
      <c r="CQ409">
        <v>232</v>
      </c>
      <c r="CR409">
        <v>2</v>
      </c>
      <c r="CW409">
        <v>6171806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1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"12/16/2021 14:44:19.319"</f>
        <v>12/16/2021 14:44:19.319</v>
      </c>
      <c r="C410" t="str">
        <f t="shared" si="19"/>
        <v>FFDFD3C0</v>
      </c>
      <c r="D410" t="s">
        <v>133</v>
      </c>
      <c r="E410">
        <v>44</v>
      </c>
      <c r="H410">
        <v>131</v>
      </c>
      <c r="I410" t="s">
        <v>134</v>
      </c>
      <c r="J410" t="s">
        <v>135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"14:44:19.094"</f>
        <v>14:44:19.094</v>
      </c>
      <c r="T410" t="str">
        <f>"14:44:18.694"</f>
        <v>14:44:18.694</v>
      </c>
      <c r="U410" t="str">
        <f t="shared" si="18"/>
        <v>A0F928</v>
      </c>
      <c r="V410">
        <v>0</v>
      </c>
      <c r="W410">
        <v>0</v>
      </c>
      <c r="X410">
        <v>2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1</v>
      </c>
      <c r="AI410" t="s">
        <v>328</v>
      </c>
      <c r="AJ410">
        <v>35.800066000000001</v>
      </c>
      <c r="AK410" t="s">
        <v>329</v>
      </c>
      <c r="AL410">
        <v>-83.965051000000003</v>
      </c>
      <c r="AM410">
        <v>25</v>
      </c>
      <c r="AN410">
        <v>1675</v>
      </c>
      <c r="AO410" t="s">
        <v>118</v>
      </c>
      <c r="AP410">
        <v>88</v>
      </c>
      <c r="AQ410">
        <v>99</v>
      </c>
      <c r="AR410">
        <v>-64</v>
      </c>
      <c r="AZ410">
        <v>300</v>
      </c>
      <c r="BA410">
        <v>1</v>
      </c>
      <c r="BB410" t="str">
        <f t="shared" si="20"/>
        <v xml:space="preserve">N162AM  </v>
      </c>
      <c r="BC410">
        <v>1</v>
      </c>
      <c r="BE410">
        <v>0</v>
      </c>
      <c r="BF410">
        <v>0</v>
      </c>
      <c r="BG410">
        <v>0</v>
      </c>
      <c r="BH410">
        <v>1950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>"14:44:19.101"</f>
        <v>14:44:19.101</v>
      </c>
      <c r="CJ410">
        <v>3</v>
      </c>
      <c r="CK410">
        <v>2</v>
      </c>
      <c r="CL410">
        <v>0</v>
      </c>
      <c r="CM410">
        <v>2</v>
      </c>
      <c r="CN410">
        <v>0</v>
      </c>
      <c r="CO410">
        <v>5</v>
      </c>
      <c r="CP410" t="s">
        <v>119</v>
      </c>
      <c r="CQ410">
        <v>232</v>
      </c>
      <c r="CR410">
        <v>1</v>
      </c>
      <c r="CW410">
        <v>14976545</v>
      </c>
      <c r="CY410">
        <v>1</v>
      </c>
      <c r="CZ410">
        <v>0</v>
      </c>
      <c r="DA410">
        <v>0</v>
      </c>
      <c r="DB410">
        <v>0</v>
      </c>
      <c r="DC410">
        <v>0</v>
      </c>
      <c r="DD410">
        <v>1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"12/16/2021 14:44:19.319"</f>
        <v>12/16/2021 14:44:19.319</v>
      </c>
      <c r="C411" t="str">
        <f t="shared" si="19"/>
        <v>FFDFD3C0</v>
      </c>
      <c r="D411" t="s">
        <v>113</v>
      </c>
      <c r="E411">
        <v>8</v>
      </c>
      <c r="H411">
        <v>176</v>
      </c>
      <c r="I411" t="s">
        <v>114</v>
      </c>
      <c r="J411" t="s">
        <v>115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"14:44:19.094"</f>
        <v>14:44:19.094</v>
      </c>
      <c r="T411" t="str">
        <f>"14:44:18.694"</f>
        <v>14:44:18.694</v>
      </c>
      <c r="U411" t="str">
        <f t="shared" si="18"/>
        <v>A0F928</v>
      </c>
      <c r="V411">
        <v>0</v>
      </c>
      <c r="W411">
        <v>0</v>
      </c>
      <c r="X411">
        <v>2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1</v>
      </c>
      <c r="AI411" t="s">
        <v>328</v>
      </c>
      <c r="AJ411">
        <v>35.800066000000001</v>
      </c>
      <c r="AK411" t="s">
        <v>329</v>
      </c>
      <c r="AL411">
        <v>-83.965051000000003</v>
      </c>
      <c r="AM411">
        <v>25</v>
      </c>
      <c r="AN411">
        <v>1675</v>
      </c>
      <c r="AO411" t="s">
        <v>118</v>
      </c>
      <c r="AP411">
        <v>88</v>
      </c>
      <c r="AQ411">
        <v>99</v>
      </c>
      <c r="AR411">
        <v>-64</v>
      </c>
      <c r="AZ411">
        <v>300</v>
      </c>
      <c r="BA411">
        <v>1</v>
      </c>
      <c r="BB411" t="str">
        <f t="shared" si="20"/>
        <v xml:space="preserve">N162AM  </v>
      </c>
      <c r="BC411">
        <v>1</v>
      </c>
      <c r="BE411">
        <v>0</v>
      </c>
      <c r="BF411">
        <v>0</v>
      </c>
      <c r="BG411">
        <v>0</v>
      </c>
      <c r="BH411">
        <v>1950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>"14:44:19.101"</f>
        <v>14:44:19.101</v>
      </c>
      <c r="CJ411">
        <v>3</v>
      </c>
      <c r="CK411">
        <v>2</v>
      </c>
      <c r="CL411">
        <v>0</v>
      </c>
      <c r="CM411">
        <v>2</v>
      </c>
      <c r="CN411">
        <v>0</v>
      </c>
      <c r="CO411">
        <v>5</v>
      </c>
      <c r="CP411" t="s">
        <v>119</v>
      </c>
      <c r="CQ411">
        <v>232</v>
      </c>
      <c r="CR411">
        <v>1</v>
      </c>
      <c r="CW411">
        <v>14976545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1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"12/16/2021 14:44:19.319"</f>
        <v>12/16/2021 14:44:19.319</v>
      </c>
      <c r="C412" t="str">
        <f t="shared" si="19"/>
        <v>FFDFD3C0</v>
      </c>
      <c r="D412" t="s">
        <v>124</v>
      </c>
      <c r="E412">
        <v>10</v>
      </c>
      <c r="F412">
        <v>1010</v>
      </c>
      <c r="G412" t="s">
        <v>130</v>
      </c>
      <c r="J412" t="s">
        <v>125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"14:44:19.094"</f>
        <v>14:44:19.094</v>
      </c>
      <c r="T412" t="str">
        <f>"14:44:18.694"</f>
        <v>14:44:18.694</v>
      </c>
      <c r="U412" t="str">
        <f t="shared" si="18"/>
        <v>A0F928</v>
      </c>
      <c r="V412">
        <v>0</v>
      </c>
      <c r="W412">
        <v>0</v>
      </c>
      <c r="X412">
        <v>2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1</v>
      </c>
      <c r="AI412" t="s">
        <v>328</v>
      </c>
      <c r="AJ412">
        <v>35.800066000000001</v>
      </c>
      <c r="AK412" t="s">
        <v>329</v>
      </c>
      <c r="AL412">
        <v>-83.965051000000003</v>
      </c>
      <c r="AM412">
        <v>25</v>
      </c>
      <c r="AN412">
        <v>1675</v>
      </c>
      <c r="AO412" t="s">
        <v>118</v>
      </c>
      <c r="AP412">
        <v>88</v>
      </c>
      <c r="AQ412">
        <v>99</v>
      </c>
      <c r="AR412">
        <v>-64</v>
      </c>
      <c r="AZ412">
        <v>300</v>
      </c>
      <c r="BA412">
        <v>1</v>
      </c>
      <c r="BB412" t="str">
        <f t="shared" si="20"/>
        <v xml:space="preserve">N162AM  </v>
      </c>
      <c r="BC412">
        <v>1</v>
      </c>
      <c r="BE412">
        <v>0</v>
      </c>
      <c r="BF412">
        <v>0</v>
      </c>
      <c r="BG412">
        <v>0</v>
      </c>
      <c r="BH412">
        <v>1950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>"14:44:19.101"</f>
        <v>14:44:19.101</v>
      </c>
      <c r="CJ412">
        <v>3</v>
      </c>
      <c r="CK412">
        <v>2</v>
      </c>
      <c r="CL412">
        <v>0</v>
      </c>
      <c r="CM412">
        <v>2</v>
      </c>
      <c r="CN412">
        <v>0</v>
      </c>
      <c r="CO412">
        <v>5</v>
      </c>
      <c r="CP412" t="s">
        <v>119</v>
      </c>
      <c r="CQ412">
        <v>232</v>
      </c>
      <c r="CR412">
        <v>1</v>
      </c>
      <c r="CW412">
        <v>14976545</v>
      </c>
      <c r="CY412">
        <v>1</v>
      </c>
      <c r="CZ412">
        <v>0</v>
      </c>
      <c r="DA412">
        <v>1</v>
      </c>
      <c r="DB412">
        <v>0</v>
      </c>
      <c r="DC412">
        <v>0</v>
      </c>
      <c r="DD412">
        <v>1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"12/16/2021 14:44:19.335"</f>
        <v>12/16/2021 14:44:19.335</v>
      </c>
      <c r="C413" t="str">
        <f t="shared" si="19"/>
        <v>FFDFD3C0</v>
      </c>
      <c r="D413" t="s">
        <v>124</v>
      </c>
      <c r="E413">
        <v>5</v>
      </c>
      <c r="F413">
        <v>1005</v>
      </c>
      <c r="G413" t="s">
        <v>114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"14:44:19.094"</f>
        <v>14:44:19.094</v>
      </c>
      <c r="T413" t="str">
        <f>"14:44:18.694"</f>
        <v>14:44:18.694</v>
      </c>
      <c r="U413" t="str">
        <f t="shared" si="18"/>
        <v>A0F928</v>
      </c>
      <c r="V413">
        <v>0</v>
      </c>
      <c r="W413">
        <v>0</v>
      </c>
      <c r="X413">
        <v>2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1</v>
      </c>
      <c r="AI413" t="s">
        <v>328</v>
      </c>
      <c r="AJ413">
        <v>35.800066000000001</v>
      </c>
      <c r="AK413" t="s">
        <v>329</v>
      </c>
      <c r="AL413">
        <v>-83.965051000000003</v>
      </c>
      <c r="AM413">
        <v>25</v>
      </c>
      <c r="AN413">
        <v>1675</v>
      </c>
      <c r="AO413" t="s">
        <v>118</v>
      </c>
      <c r="AP413">
        <v>88</v>
      </c>
      <c r="AQ413">
        <v>99</v>
      </c>
      <c r="AR413">
        <v>-64</v>
      </c>
      <c r="AZ413">
        <v>300</v>
      </c>
      <c r="BA413">
        <v>1</v>
      </c>
      <c r="BB413" t="str">
        <f t="shared" si="20"/>
        <v xml:space="preserve">N162AM  </v>
      </c>
      <c r="BC413">
        <v>1</v>
      </c>
      <c r="BE413">
        <v>0</v>
      </c>
      <c r="BF413">
        <v>0</v>
      </c>
      <c r="BG413">
        <v>0</v>
      </c>
      <c r="BH413">
        <v>1950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>"14:44:19.101"</f>
        <v>14:44:19.101</v>
      </c>
      <c r="CJ413">
        <v>3</v>
      </c>
      <c r="CK413">
        <v>2</v>
      </c>
      <c r="CL413">
        <v>0</v>
      </c>
      <c r="CM413">
        <v>2</v>
      </c>
      <c r="CN413">
        <v>0</v>
      </c>
      <c r="CO413">
        <v>5</v>
      </c>
      <c r="CP413" t="s">
        <v>119</v>
      </c>
      <c r="CQ413">
        <v>232</v>
      </c>
      <c r="CR413">
        <v>1</v>
      </c>
      <c r="CW413">
        <v>14976545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"12/16/2021 14:44:20.271"</f>
        <v>12/16/2021 14:44:20.271</v>
      </c>
      <c r="C414" t="str">
        <f t="shared" si="19"/>
        <v>FFDFD3C0</v>
      </c>
      <c r="D414" t="s">
        <v>133</v>
      </c>
      <c r="E414">
        <v>44</v>
      </c>
      <c r="H414">
        <v>131</v>
      </c>
      <c r="I414" t="s">
        <v>134</v>
      </c>
      <c r="J414" t="s">
        <v>135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"14:44:20.086"</f>
        <v>14:44:20.086</v>
      </c>
      <c r="T414" t="str">
        <f>"14:44:19.686"</f>
        <v>14:44:19.686</v>
      </c>
      <c r="U414" t="str">
        <f t="shared" si="18"/>
        <v>A0F928</v>
      </c>
      <c r="V414">
        <v>0</v>
      </c>
      <c r="W414">
        <v>0</v>
      </c>
      <c r="X414">
        <v>2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1</v>
      </c>
      <c r="AI414" t="s">
        <v>330</v>
      </c>
      <c r="AJ414">
        <v>35.800538000000003</v>
      </c>
      <c r="AK414" t="s">
        <v>331</v>
      </c>
      <c r="AL414">
        <v>-83.964535999999995</v>
      </c>
      <c r="AM414">
        <v>25</v>
      </c>
      <c r="AN414">
        <v>1675</v>
      </c>
      <c r="AO414" t="s">
        <v>118</v>
      </c>
      <c r="AP414">
        <v>89</v>
      </c>
      <c r="AQ414">
        <v>99</v>
      </c>
      <c r="AR414">
        <v>-64</v>
      </c>
      <c r="AZ414">
        <v>300</v>
      </c>
      <c r="BA414">
        <v>1</v>
      </c>
      <c r="BB414" t="str">
        <f t="shared" si="20"/>
        <v xml:space="preserve">N162AM  </v>
      </c>
      <c r="BC414">
        <v>1</v>
      </c>
      <c r="BE414">
        <v>0</v>
      </c>
      <c r="BF414">
        <v>0</v>
      </c>
      <c r="BG414">
        <v>0</v>
      </c>
      <c r="BH414">
        <v>1950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>"14:44:20.091"</f>
        <v>14:44:20.091</v>
      </c>
      <c r="CJ414">
        <v>3</v>
      </c>
      <c r="CK414">
        <v>2</v>
      </c>
      <c r="CL414">
        <v>0</v>
      </c>
      <c r="CM414">
        <v>2</v>
      </c>
      <c r="CN414">
        <v>0</v>
      </c>
      <c r="CO414">
        <v>5</v>
      </c>
      <c r="CP414" t="s">
        <v>119</v>
      </c>
      <c r="CQ414">
        <v>232</v>
      </c>
      <c r="CR414">
        <v>1</v>
      </c>
      <c r="CW414">
        <v>14978016</v>
      </c>
      <c r="CY414">
        <v>1</v>
      </c>
      <c r="CZ414">
        <v>0</v>
      </c>
      <c r="DA414">
        <v>0</v>
      </c>
      <c r="DB414">
        <v>0</v>
      </c>
      <c r="DC414">
        <v>0</v>
      </c>
      <c r="DD414">
        <v>1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"12/16/2021 14:44:20.287"</f>
        <v>12/16/2021 14:44:20.287</v>
      </c>
      <c r="C415" t="str">
        <f t="shared" si="19"/>
        <v>FFDFD3C0</v>
      </c>
      <c r="D415" t="s">
        <v>124</v>
      </c>
      <c r="E415">
        <v>10</v>
      </c>
      <c r="F415">
        <v>1010</v>
      </c>
      <c r="G415" t="s">
        <v>130</v>
      </c>
      <c r="J415" t="s">
        <v>125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"14:44:20.086"</f>
        <v>14:44:20.086</v>
      </c>
      <c r="T415" t="str">
        <f>"14:44:19.686"</f>
        <v>14:44:19.686</v>
      </c>
      <c r="U415" t="str">
        <f t="shared" si="18"/>
        <v>A0F928</v>
      </c>
      <c r="V415">
        <v>0</v>
      </c>
      <c r="W415">
        <v>0</v>
      </c>
      <c r="X415">
        <v>2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1</v>
      </c>
      <c r="AI415" t="s">
        <v>330</v>
      </c>
      <c r="AJ415">
        <v>35.800538000000003</v>
      </c>
      <c r="AK415" t="s">
        <v>331</v>
      </c>
      <c r="AL415">
        <v>-83.964535999999995</v>
      </c>
      <c r="AM415">
        <v>25</v>
      </c>
      <c r="AN415">
        <v>1675</v>
      </c>
      <c r="AO415" t="s">
        <v>118</v>
      </c>
      <c r="AP415">
        <v>89</v>
      </c>
      <c r="AQ415">
        <v>99</v>
      </c>
      <c r="AR415">
        <v>-64</v>
      </c>
      <c r="AZ415">
        <v>300</v>
      </c>
      <c r="BA415">
        <v>1</v>
      </c>
      <c r="BB415" t="str">
        <f t="shared" si="20"/>
        <v xml:space="preserve">N162AM  </v>
      </c>
      <c r="BC415">
        <v>1</v>
      </c>
      <c r="BE415">
        <v>0</v>
      </c>
      <c r="BF415">
        <v>0</v>
      </c>
      <c r="BG415">
        <v>0</v>
      </c>
      <c r="BH415">
        <v>1950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>"14:44:20.091"</f>
        <v>14:44:20.091</v>
      </c>
      <c r="CJ415">
        <v>3</v>
      </c>
      <c r="CK415">
        <v>2</v>
      </c>
      <c r="CL415">
        <v>0</v>
      </c>
      <c r="CM415">
        <v>2</v>
      </c>
      <c r="CN415">
        <v>0</v>
      </c>
      <c r="CO415">
        <v>5</v>
      </c>
      <c r="CP415" t="s">
        <v>119</v>
      </c>
      <c r="CQ415">
        <v>232</v>
      </c>
      <c r="CR415">
        <v>1</v>
      </c>
      <c r="CW415">
        <v>14978016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1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"12/16/2021 14:44:20.271"</f>
        <v>12/16/2021 14:44:20.271</v>
      </c>
      <c r="C416" t="str">
        <f t="shared" si="19"/>
        <v>FFDFD3C0</v>
      </c>
      <c r="D416" t="s">
        <v>113</v>
      </c>
      <c r="E416">
        <v>8</v>
      </c>
      <c r="H416">
        <v>176</v>
      </c>
      <c r="I416" t="s">
        <v>114</v>
      </c>
      <c r="J416" t="s">
        <v>115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"14:44:20.086"</f>
        <v>14:44:20.086</v>
      </c>
      <c r="T416" t="str">
        <f>"14:44:19.686"</f>
        <v>14:44:19.686</v>
      </c>
      <c r="U416" t="str">
        <f t="shared" si="18"/>
        <v>A0F928</v>
      </c>
      <c r="V416">
        <v>0</v>
      </c>
      <c r="W416">
        <v>0</v>
      </c>
      <c r="X416">
        <v>2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1</v>
      </c>
      <c r="AI416" t="s">
        <v>330</v>
      </c>
      <c r="AJ416">
        <v>35.800538000000003</v>
      </c>
      <c r="AK416" t="s">
        <v>331</v>
      </c>
      <c r="AL416">
        <v>-83.964535999999995</v>
      </c>
      <c r="AM416">
        <v>25</v>
      </c>
      <c r="AN416">
        <v>1675</v>
      </c>
      <c r="AO416" t="s">
        <v>118</v>
      </c>
      <c r="AP416">
        <v>89</v>
      </c>
      <c r="AQ416">
        <v>99</v>
      </c>
      <c r="AR416">
        <v>-64</v>
      </c>
      <c r="AZ416">
        <v>300</v>
      </c>
      <c r="BA416">
        <v>1</v>
      </c>
      <c r="BB416" t="str">
        <f t="shared" si="20"/>
        <v xml:space="preserve">N162AM  </v>
      </c>
      <c r="BC416">
        <v>1</v>
      </c>
      <c r="BE416">
        <v>0</v>
      </c>
      <c r="BF416">
        <v>0</v>
      </c>
      <c r="BG416">
        <v>0</v>
      </c>
      <c r="BH416">
        <v>1950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>"14:44:20.091"</f>
        <v>14:44:20.091</v>
      </c>
      <c r="CJ416">
        <v>3</v>
      </c>
      <c r="CK416">
        <v>2</v>
      </c>
      <c r="CL416">
        <v>0</v>
      </c>
      <c r="CM416">
        <v>2</v>
      </c>
      <c r="CN416">
        <v>0</v>
      </c>
      <c r="CO416">
        <v>5</v>
      </c>
      <c r="CP416" t="s">
        <v>119</v>
      </c>
      <c r="CQ416">
        <v>232</v>
      </c>
      <c r="CR416">
        <v>1</v>
      </c>
      <c r="CW416">
        <v>14978016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1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"12/16/2021 14:44:20.302"</f>
        <v>12/16/2021 14:44:20.302</v>
      </c>
      <c r="C417" t="str">
        <f t="shared" si="19"/>
        <v>FFDFD3C0</v>
      </c>
      <c r="D417" t="s">
        <v>124</v>
      </c>
      <c r="E417">
        <v>5</v>
      </c>
      <c r="F417">
        <v>1005</v>
      </c>
      <c r="G417" t="s">
        <v>114</v>
      </c>
      <c r="J417" t="s">
        <v>125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"14:44:20.086"</f>
        <v>14:44:20.086</v>
      </c>
      <c r="T417" t="str">
        <f>"14:44:19.686"</f>
        <v>14:44:19.686</v>
      </c>
      <c r="U417" t="str">
        <f t="shared" si="18"/>
        <v>A0F928</v>
      </c>
      <c r="V417">
        <v>0</v>
      </c>
      <c r="W417">
        <v>0</v>
      </c>
      <c r="X417">
        <v>2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1</v>
      </c>
      <c r="AI417" t="s">
        <v>330</v>
      </c>
      <c r="AJ417">
        <v>35.800538000000003</v>
      </c>
      <c r="AK417" t="s">
        <v>331</v>
      </c>
      <c r="AL417">
        <v>-83.964535999999995</v>
      </c>
      <c r="AM417">
        <v>25</v>
      </c>
      <c r="AN417">
        <v>1675</v>
      </c>
      <c r="AO417" t="s">
        <v>118</v>
      </c>
      <c r="AP417">
        <v>89</v>
      </c>
      <c r="AQ417">
        <v>99</v>
      </c>
      <c r="AR417">
        <v>-64</v>
      </c>
      <c r="AZ417">
        <v>300</v>
      </c>
      <c r="BA417">
        <v>1</v>
      </c>
      <c r="BB417" t="str">
        <f t="shared" si="20"/>
        <v xml:space="preserve">N162AM  </v>
      </c>
      <c r="BC417">
        <v>1</v>
      </c>
      <c r="BE417">
        <v>0</v>
      </c>
      <c r="BF417">
        <v>0</v>
      </c>
      <c r="BG417">
        <v>0</v>
      </c>
      <c r="BH417">
        <v>1950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>"14:44:20.091"</f>
        <v>14:44:20.091</v>
      </c>
      <c r="CJ417">
        <v>3</v>
      </c>
      <c r="CK417">
        <v>2</v>
      </c>
      <c r="CL417">
        <v>0</v>
      </c>
      <c r="CM417">
        <v>2</v>
      </c>
      <c r="CN417">
        <v>0</v>
      </c>
      <c r="CO417">
        <v>5</v>
      </c>
      <c r="CP417" t="s">
        <v>119</v>
      </c>
      <c r="CQ417">
        <v>232</v>
      </c>
      <c r="CR417">
        <v>1</v>
      </c>
      <c r="CW417">
        <v>14978016</v>
      </c>
      <c r="CY417">
        <v>1</v>
      </c>
      <c r="CZ417">
        <v>0</v>
      </c>
      <c r="DA417">
        <v>1</v>
      </c>
      <c r="DB417">
        <v>0</v>
      </c>
      <c r="DC417">
        <v>0</v>
      </c>
      <c r="DD417">
        <v>1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"12/16/2021 14:44:21.584"</f>
        <v>12/16/2021 14:44:21.584</v>
      </c>
      <c r="C418" t="str">
        <f t="shared" si="19"/>
        <v>FFDFD3C0</v>
      </c>
      <c r="D418" t="s">
        <v>133</v>
      </c>
      <c r="E418">
        <v>44</v>
      </c>
      <c r="H418">
        <v>131</v>
      </c>
      <c r="I418" t="s">
        <v>134</v>
      </c>
      <c r="J418" t="s">
        <v>135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"14:44:21.383"</f>
        <v>14:44:21.383</v>
      </c>
      <c r="T418" t="str">
        <f>"14:44:20.983"</f>
        <v>14:44:20.983</v>
      </c>
      <c r="U418" t="str">
        <f t="shared" si="18"/>
        <v>A0F928</v>
      </c>
      <c r="V418">
        <v>0</v>
      </c>
      <c r="W418">
        <v>0</v>
      </c>
      <c r="X418">
        <v>2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1</v>
      </c>
      <c r="AI418" t="s">
        <v>332</v>
      </c>
      <c r="AJ418">
        <v>35.801096000000001</v>
      </c>
      <c r="AK418" t="s">
        <v>333</v>
      </c>
      <c r="AL418">
        <v>-83.963870999999997</v>
      </c>
      <c r="AM418">
        <v>25</v>
      </c>
      <c r="AN418">
        <v>1675</v>
      </c>
      <c r="AO418" t="s">
        <v>118</v>
      </c>
      <c r="AP418">
        <v>89</v>
      </c>
      <c r="AQ418">
        <v>98</v>
      </c>
      <c r="AR418">
        <v>-64</v>
      </c>
      <c r="AZ418">
        <v>300</v>
      </c>
      <c r="BA418">
        <v>1</v>
      </c>
      <c r="BB418" t="str">
        <f t="shared" si="20"/>
        <v xml:space="preserve">N162AM  </v>
      </c>
      <c r="BC418">
        <v>1</v>
      </c>
      <c r="BE418">
        <v>0</v>
      </c>
      <c r="BF418">
        <v>0</v>
      </c>
      <c r="BG418">
        <v>0</v>
      </c>
      <c r="BH418">
        <v>1950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>"14:44:21.387"</f>
        <v>14:44:21.387</v>
      </c>
      <c r="CJ418">
        <v>3</v>
      </c>
      <c r="CK418">
        <v>2</v>
      </c>
      <c r="CL418">
        <v>0</v>
      </c>
      <c r="CM418">
        <v>2</v>
      </c>
      <c r="CN418">
        <v>0</v>
      </c>
      <c r="CO418">
        <v>4</v>
      </c>
      <c r="CP418" t="s">
        <v>119</v>
      </c>
      <c r="CQ418">
        <v>232</v>
      </c>
      <c r="CR418">
        <v>2</v>
      </c>
      <c r="CW418">
        <v>6176580</v>
      </c>
      <c r="CY418">
        <v>1</v>
      </c>
      <c r="CZ418">
        <v>0</v>
      </c>
      <c r="DA418">
        <v>0</v>
      </c>
      <c r="DB418">
        <v>0</v>
      </c>
      <c r="DC418">
        <v>0</v>
      </c>
      <c r="DD418">
        <v>1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"12/16/2021 14:44:21.615"</f>
        <v>12/16/2021 14:44:21.615</v>
      </c>
      <c r="C419" t="str">
        <f t="shared" si="19"/>
        <v>FFDFD3C0</v>
      </c>
      <c r="D419" t="s">
        <v>124</v>
      </c>
      <c r="E419">
        <v>5</v>
      </c>
      <c r="F419">
        <v>1005</v>
      </c>
      <c r="G419" t="s">
        <v>114</v>
      </c>
      <c r="J419" t="s">
        <v>125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"14:44:21.383"</f>
        <v>14:44:21.383</v>
      </c>
      <c r="T419" t="str">
        <f>"14:44:20.983"</f>
        <v>14:44:20.983</v>
      </c>
      <c r="U419" t="str">
        <f t="shared" si="18"/>
        <v>A0F928</v>
      </c>
      <c r="V419">
        <v>0</v>
      </c>
      <c r="W419">
        <v>0</v>
      </c>
      <c r="X419">
        <v>2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1</v>
      </c>
      <c r="AI419" t="s">
        <v>332</v>
      </c>
      <c r="AJ419">
        <v>35.801096000000001</v>
      </c>
      <c r="AK419" t="s">
        <v>333</v>
      </c>
      <c r="AL419">
        <v>-83.963870999999997</v>
      </c>
      <c r="AM419">
        <v>25</v>
      </c>
      <c r="AN419">
        <v>1675</v>
      </c>
      <c r="AO419" t="s">
        <v>118</v>
      </c>
      <c r="AP419">
        <v>89</v>
      </c>
      <c r="AQ419">
        <v>98</v>
      </c>
      <c r="AR419">
        <v>-64</v>
      </c>
      <c r="AZ419">
        <v>300</v>
      </c>
      <c r="BA419">
        <v>1</v>
      </c>
      <c r="BB419" t="str">
        <f t="shared" si="20"/>
        <v xml:space="preserve">N162AM  </v>
      </c>
      <c r="BC419">
        <v>1</v>
      </c>
      <c r="BE419">
        <v>0</v>
      </c>
      <c r="BF419">
        <v>0</v>
      </c>
      <c r="BG419">
        <v>0</v>
      </c>
      <c r="BH419">
        <v>1950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>"14:44:21.387"</f>
        <v>14:44:21.387</v>
      </c>
      <c r="CJ419">
        <v>3</v>
      </c>
      <c r="CK419">
        <v>2</v>
      </c>
      <c r="CL419">
        <v>0</v>
      </c>
      <c r="CM419">
        <v>2</v>
      </c>
      <c r="CN419">
        <v>0</v>
      </c>
      <c r="CO419">
        <v>4</v>
      </c>
      <c r="CP419" t="s">
        <v>119</v>
      </c>
      <c r="CQ419">
        <v>232</v>
      </c>
      <c r="CR419">
        <v>2</v>
      </c>
      <c r="CW419">
        <v>6176580</v>
      </c>
      <c r="CY419">
        <v>1</v>
      </c>
      <c r="CZ419">
        <v>0</v>
      </c>
      <c r="DA419">
        <v>1</v>
      </c>
      <c r="DB419">
        <v>0</v>
      </c>
      <c r="DC419">
        <v>0</v>
      </c>
      <c r="DD419">
        <v>1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"12/16/2021 14:44:21.662"</f>
        <v>12/16/2021 14:44:21.662</v>
      </c>
      <c r="C420" t="str">
        <f t="shared" si="19"/>
        <v>FFDFD3C0</v>
      </c>
      <c r="D420" t="s">
        <v>124</v>
      </c>
      <c r="E420">
        <v>10</v>
      </c>
      <c r="F420">
        <v>1010</v>
      </c>
      <c r="G420" t="s">
        <v>130</v>
      </c>
      <c r="J420" t="s">
        <v>125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"14:44:21.383"</f>
        <v>14:44:21.383</v>
      </c>
      <c r="T420" t="str">
        <f>"14:44:20.983"</f>
        <v>14:44:20.983</v>
      </c>
      <c r="U420" t="str">
        <f t="shared" si="18"/>
        <v>A0F928</v>
      </c>
      <c r="V420">
        <v>0</v>
      </c>
      <c r="W420">
        <v>0</v>
      </c>
      <c r="X420">
        <v>2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1</v>
      </c>
      <c r="AI420" t="s">
        <v>332</v>
      </c>
      <c r="AJ420">
        <v>35.801096000000001</v>
      </c>
      <c r="AK420" t="s">
        <v>333</v>
      </c>
      <c r="AL420">
        <v>-83.963870999999997</v>
      </c>
      <c r="AM420">
        <v>25</v>
      </c>
      <c r="AN420">
        <v>1675</v>
      </c>
      <c r="AO420" t="s">
        <v>118</v>
      </c>
      <c r="AP420">
        <v>89</v>
      </c>
      <c r="AQ420">
        <v>98</v>
      </c>
      <c r="AR420">
        <v>-64</v>
      </c>
      <c r="AZ420">
        <v>300</v>
      </c>
      <c r="BA420">
        <v>1</v>
      </c>
      <c r="BB420" t="str">
        <f t="shared" si="20"/>
        <v xml:space="preserve">N162AM  </v>
      </c>
      <c r="BC420">
        <v>1</v>
      </c>
      <c r="BE420">
        <v>0</v>
      </c>
      <c r="BF420">
        <v>0</v>
      </c>
      <c r="BG420">
        <v>0</v>
      </c>
      <c r="BH420">
        <v>1950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>"14:44:21.387"</f>
        <v>14:44:21.387</v>
      </c>
      <c r="CJ420">
        <v>3</v>
      </c>
      <c r="CK420">
        <v>2</v>
      </c>
      <c r="CL420">
        <v>0</v>
      </c>
      <c r="CM420">
        <v>2</v>
      </c>
      <c r="CN420">
        <v>0</v>
      </c>
      <c r="CO420">
        <v>4</v>
      </c>
      <c r="CP420" t="s">
        <v>119</v>
      </c>
      <c r="CQ420">
        <v>232</v>
      </c>
      <c r="CR420">
        <v>2</v>
      </c>
      <c r="CW420">
        <v>6176580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1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"12/16/2021 14:44:21.662"</f>
        <v>12/16/2021 14:44:21.662</v>
      </c>
      <c r="C421" t="str">
        <f t="shared" si="19"/>
        <v>FFDFD3C0</v>
      </c>
      <c r="D421" t="s">
        <v>113</v>
      </c>
      <c r="E421">
        <v>8</v>
      </c>
      <c r="H421">
        <v>176</v>
      </c>
      <c r="I421" t="s">
        <v>114</v>
      </c>
      <c r="J421" t="s">
        <v>115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"14:44:21.383"</f>
        <v>14:44:21.383</v>
      </c>
      <c r="T421" t="str">
        <f>"14:44:20.983"</f>
        <v>14:44:20.983</v>
      </c>
      <c r="U421" t="str">
        <f t="shared" si="18"/>
        <v>A0F928</v>
      </c>
      <c r="V421">
        <v>0</v>
      </c>
      <c r="W421">
        <v>0</v>
      </c>
      <c r="X421">
        <v>2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1</v>
      </c>
      <c r="AI421" t="s">
        <v>332</v>
      </c>
      <c r="AJ421">
        <v>35.801096000000001</v>
      </c>
      <c r="AK421" t="s">
        <v>333</v>
      </c>
      <c r="AL421">
        <v>-83.963870999999997</v>
      </c>
      <c r="AM421">
        <v>25</v>
      </c>
      <c r="AN421">
        <v>1675</v>
      </c>
      <c r="AO421" t="s">
        <v>118</v>
      </c>
      <c r="AP421">
        <v>89</v>
      </c>
      <c r="AQ421">
        <v>98</v>
      </c>
      <c r="AR421">
        <v>-64</v>
      </c>
      <c r="AZ421">
        <v>300</v>
      </c>
      <c r="BA421">
        <v>1</v>
      </c>
      <c r="BB421" t="str">
        <f t="shared" si="20"/>
        <v xml:space="preserve">N162AM  </v>
      </c>
      <c r="BC421">
        <v>1</v>
      </c>
      <c r="BE421">
        <v>0</v>
      </c>
      <c r="BF421">
        <v>0</v>
      </c>
      <c r="BG421">
        <v>0</v>
      </c>
      <c r="BH421">
        <v>1950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>"14:44:21.387"</f>
        <v>14:44:21.387</v>
      </c>
      <c r="CJ421">
        <v>3</v>
      </c>
      <c r="CK421">
        <v>2</v>
      </c>
      <c r="CL421">
        <v>0</v>
      </c>
      <c r="CM421">
        <v>2</v>
      </c>
      <c r="CN421">
        <v>0</v>
      </c>
      <c r="CO421">
        <v>4</v>
      </c>
      <c r="CP421" t="s">
        <v>119</v>
      </c>
      <c r="CQ421">
        <v>232</v>
      </c>
      <c r="CR421">
        <v>2</v>
      </c>
      <c r="CW421">
        <v>6176580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1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"12/16/2021 14:44:22.585"</f>
        <v>12/16/2021 14:44:22.585</v>
      </c>
      <c r="C422" t="str">
        <f t="shared" si="19"/>
        <v>FFDFD3C0</v>
      </c>
      <c r="D422" t="s">
        <v>133</v>
      </c>
      <c r="E422">
        <v>44</v>
      </c>
      <c r="H422">
        <v>131</v>
      </c>
      <c r="I422" t="s">
        <v>134</v>
      </c>
      <c r="J422" t="s">
        <v>135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"14:44:22.414"</f>
        <v>14:44:22.414</v>
      </c>
      <c r="T422" t="str">
        <f>"14:44:22.014"</f>
        <v>14:44:22.014</v>
      </c>
      <c r="U422" t="str">
        <f t="shared" si="18"/>
        <v>A0F928</v>
      </c>
      <c r="V422">
        <v>0</v>
      </c>
      <c r="W422">
        <v>0</v>
      </c>
      <c r="X422">
        <v>2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1</v>
      </c>
      <c r="AI422" t="s">
        <v>334</v>
      </c>
      <c r="AJ422">
        <v>35.801568000000003</v>
      </c>
      <c r="AK422" t="s">
        <v>335</v>
      </c>
      <c r="AL422">
        <v>-83.963356000000005</v>
      </c>
      <c r="AM422">
        <v>25</v>
      </c>
      <c r="AN422">
        <v>1675</v>
      </c>
      <c r="AO422" t="s">
        <v>118</v>
      </c>
      <c r="AP422">
        <v>89</v>
      </c>
      <c r="AQ422">
        <v>97</v>
      </c>
      <c r="AR422">
        <v>-192</v>
      </c>
      <c r="AZ422">
        <v>300</v>
      </c>
      <c r="BA422">
        <v>1</v>
      </c>
      <c r="BB422" t="str">
        <f t="shared" si="20"/>
        <v xml:space="preserve">N162AM  </v>
      </c>
      <c r="BC422">
        <v>1</v>
      </c>
      <c r="BE422">
        <v>0</v>
      </c>
      <c r="BF422">
        <v>0</v>
      </c>
      <c r="BG422">
        <v>0</v>
      </c>
      <c r="BH422">
        <v>1925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>"14:44:22.416"</f>
        <v>14:44:22.416</v>
      </c>
      <c r="CJ422">
        <v>3</v>
      </c>
      <c r="CK422">
        <v>2</v>
      </c>
      <c r="CL422">
        <v>0</v>
      </c>
      <c r="CM422">
        <v>2</v>
      </c>
      <c r="CN422">
        <v>0</v>
      </c>
      <c r="CO422">
        <v>5</v>
      </c>
      <c r="CP422" t="s">
        <v>119</v>
      </c>
      <c r="CQ422">
        <v>232</v>
      </c>
      <c r="CR422">
        <v>1</v>
      </c>
      <c r="CW422">
        <v>14981573</v>
      </c>
      <c r="CY422">
        <v>1</v>
      </c>
      <c r="CZ422">
        <v>0</v>
      </c>
      <c r="DA422">
        <v>0</v>
      </c>
      <c r="DB422">
        <v>0</v>
      </c>
      <c r="DC422">
        <v>0</v>
      </c>
      <c r="DD422">
        <v>1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"12/16/2021 14:44:22.616"</f>
        <v>12/16/2021 14:44:22.616</v>
      </c>
      <c r="C423" t="str">
        <f t="shared" si="19"/>
        <v>FFDFD3C0</v>
      </c>
      <c r="D423" t="s">
        <v>124</v>
      </c>
      <c r="E423">
        <v>5</v>
      </c>
      <c r="F423">
        <v>1005</v>
      </c>
      <c r="G423" t="s">
        <v>114</v>
      </c>
      <c r="J423" t="s">
        <v>125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"14:44:22.414"</f>
        <v>14:44:22.414</v>
      </c>
      <c r="T423" t="str">
        <f>"14:44:22.014"</f>
        <v>14:44:22.014</v>
      </c>
      <c r="U423" t="str">
        <f t="shared" si="18"/>
        <v>A0F928</v>
      </c>
      <c r="V423">
        <v>0</v>
      </c>
      <c r="W423">
        <v>0</v>
      </c>
      <c r="X423">
        <v>2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1</v>
      </c>
      <c r="AI423" t="s">
        <v>334</v>
      </c>
      <c r="AJ423">
        <v>35.801568000000003</v>
      </c>
      <c r="AK423" t="s">
        <v>335</v>
      </c>
      <c r="AL423">
        <v>-83.963356000000005</v>
      </c>
      <c r="AM423">
        <v>25</v>
      </c>
      <c r="AN423">
        <v>1675</v>
      </c>
      <c r="AO423" t="s">
        <v>118</v>
      </c>
      <c r="AP423">
        <v>89</v>
      </c>
      <c r="AQ423">
        <v>97</v>
      </c>
      <c r="AR423">
        <v>-192</v>
      </c>
      <c r="AZ423">
        <v>300</v>
      </c>
      <c r="BA423">
        <v>1</v>
      </c>
      <c r="BB423" t="str">
        <f t="shared" si="20"/>
        <v xml:space="preserve">N162AM  </v>
      </c>
      <c r="BC423">
        <v>1</v>
      </c>
      <c r="BE423">
        <v>0</v>
      </c>
      <c r="BF423">
        <v>0</v>
      </c>
      <c r="BG423">
        <v>0</v>
      </c>
      <c r="BH423">
        <v>1925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>"14:44:22.416"</f>
        <v>14:44:22.416</v>
      </c>
      <c r="CJ423">
        <v>3</v>
      </c>
      <c r="CK423">
        <v>2</v>
      </c>
      <c r="CL423">
        <v>0</v>
      </c>
      <c r="CM423">
        <v>2</v>
      </c>
      <c r="CN423">
        <v>0</v>
      </c>
      <c r="CO423">
        <v>5</v>
      </c>
      <c r="CP423" t="s">
        <v>119</v>
      </c>
      <c r="CQ423">
        <v>232</v>
      </c>
      <c r="CR423">
        <v>1</v>
      </c>
      <c r="CW423">
        <v>14981573</v>
      </c>
      <c r="CY423">
        <v>1</v>
      </c>
      <c r="CZ423">
        <v>0</v>
      </c>
      <c r="DA423">
        <v>1</v>
      </c>
      <c r="DB423">
        <v>0</v>
      </c>
      <c r="DC423">
        <v>0</v>
      </c>
      <c r="DD423">
        <v>1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"12/16/2021 14:44:22.585"</f>
        <v>12/16/2021 14:44:22.585</v>
      </c>
      <c r="C424" t="str">
        <f t="shared" si="19"/>
        <v>FFDFD3C0</v>
      </c>
      <c r="D424" t="s">
        <v>113</v>
      </c>
      <c r="E424">
        <v>8</v>
      </c>
      <c r="H424">
        <v>176</v>
      </c>
      <c r="I424" t="s">
        <v>114</v>
      </c>
      <c r="J424" t="s">
        <v>115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"14:44:22.414"</f>
        <v>14:44:22.414</v>
      </c>
      <c r="T424" t="str">
        <f>"14:44:22.014"</f>
        <v>14:44:22.014</v>
      </c>
      <c r="U424" t="str">
        <f t="shared" si="18"/>
        <v>A0F928</v>
      </c>
      <c r="V424">
        <v>0</v>
      </c>
      <c r="W424">
        <v>0</v>
      </c>
      <c r="X424">
        <v>2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1</v>
      </c>
      <c r="AI424" t="s">
        <v>334</v>
      </c>
      <c r="AJ424">
        <v>35.801568000000003</v>
      </c>
      <c r="AK424" t="s">
        <v>335</v>
      </c>
      <c r="AL424">
        <v>-83.963356000000005</v>
      </c>
      <c r="AM424">
        <v>25</v>
      </c>
      <c r="AN424">
        <v>1675</v>
      </c>
      <c r="AO424" t="s">
        <v>118</v>
      </c>
      <c r="AP424">
        <v>89</v>
      </c>
      <c r="AQ424">
        <v>97</v>
      </c>
      <c r="AR424">
        <v>-192</v>
      </c>
      <c r="AZ424">
        <v>300</v>
      </c>
      <c r="BA424">
        <v>1</v>
      </c>
      <c r="BB424" t="str">
        <f t="shared" si="20"/>
        <v xml:space="preserve">N162AM  </v>
      </c>
      <c r="BC424">
        <v>1</v>
      </c>
      <c r="BE424">
        <v>0</v>
      </c>
      <c r="BF424">
        <v>0</v>
      </c>
      <c r="BG424">
        <v>0</v>
      </c>
      <c r="BH424">
        <v>1925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>"14:44:22.416"</f>
        <v>14:44:22.416</v>
      </c>
      <c r="CJ424">
        <v>3</v>
      </c>
      <c r="CK424">
        <v>2</v>
      </c>
      <c r="CL424">
        <v>0</v>
      </c>
      <c r="CM424">
        <v>2</v>
      </c>
      <c r="CN424">
        <v>0</v>
      </c>
      <c r="CO424">
        <v>5</v>
      </c>
      <c r="CP424" t="s">
        <v>119</v>
      </c>
      <c r="CQ424">
        <v>232</v>
      </c>
      <c r="CR424">
        <v>1</v>
      </c>
      <c r="CW424">
        <v>14981573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1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"12/16/2021 14:44:22.679"</f>
        <v>12/16/2021 14:44:22.679</v>
      </c>
      <c r="C425" t="str">
        <f t="shared" si="19"/>
        <v>FFDFD3C0</v>
      </c>
      <c r="D425" t="s">
        <v>124</v>
      </c>
      <c r="E425">
        <v>10</v>
      </c>
      <c r="F425">
        <v>1010</v>
      </c>
      <c r="G425" t="s">
        <v>130</v>
      </c>
      <c r="J425" t="s">
        <v>125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"14:44:22.414"</f>
        <v>14:44:22.414</v>
      </c>
      <c r="T425" t="str">
        <f>"14:44:22.014"</f>
        <v>14:44:22.014</v>
      </c>
      <c r="U425" t="str">
        <f t="shared" si="18"/>
        <v>A0F928</v>
      </c>
      <c r="V425">
        <v>0</v>
      </c>
      <c r="W425">
        <v>0</v>
      </c>
      <c r="X425">
        <v>2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1</v>
      </c>
      <c r="AI425" t="s">
        <v>334</v>
      </c>
      <c r="AJ425">
        <v>35.801568000000003</v>
      </c>
      <c r="AK425" t="s">
        <v>335</v>
      </c>
      <c r="AL425">
        <v>-83.963356000000005</v>
      </c>
      <c r="AM425">
        <v>25</v>
      </c>
      <c r="AN425">
        <v>1675</v>
      </c>
      <c r="AO425" t="s">
        <v>118</v>
      </c>
      <c r="AP425">
        <v>89</v>
      </c>
      <c r="AQ425">
        <v>97</v>
      </c>
      <c r="AR425">
        <v>-192</v>
      </c>
      <c r="AZ425">
        <v>300</v>
      </c>
      <c r="BA425">
        <v>1</v>
      </c>
      <c r="BB425" t="str">
        <f t="shared" si="20"/>
        <v xml:space="preserve">N162AM  </v>
      </c>
      <c r="BC425">
        <v>1</v>
      </c>
      <c r="BE425">
        <v>0</v>
      </c>
      <c r="BF425">
        <v>0</v>
      </c>
      <c r="BG425">
        <v>0</v>
      </c>
      <c r="BH425">
        <v>1925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>"14:44:22.416"</f>
        <v>14:44:22.416</v>
      </c>
      <c r="CJ425">
        <v>3</v>
      </c>
      <c r="CK425">
        <v>2</v>
      </c>
      <c r="CL425">
        <v>0</v>
      </c>
      <c r="CM425">
        <v>2</v>
      </c>
      <c r="CN425">
        <v>0</v>
      </c>
      <c r="CO425">
        <v>5</v>
      </c>
      <c r="CP425" t="s">
        <v>119</v>
      </c>
      <c r="CQ425">
        <v>232</v>
      </c>
      <c r="CR425">
        <v>1</v>
      </c>
      <c r="CW425">
        <v>14981573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1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"12/16/2021 14:44:24.771"</f>
        <v>12/16/2021 14:44:24.771</v>
      </c>
      <c r="C426" t="str">
        <f t="shared" si="19"/>
        <v>FFDFD3C0</v>
      </c>
      <c r="D426" t="s">
        <v>124</v>
      </c>
      <c r="E426">
        <v>10</v>
      </c>
      <c r="F426">
        <v>1010</v>
      </c>
      <c r="G426" t="s">
        <v>130</v>
      </c>
      <c r="J426" t="s">
        <v>125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"14:44:24.570"</f>
        <v>14:44:24.570</v>
      </c>
      <c r="T426" t="str">
        <f>"14:44:24.070"</f>
        <v>14:44:24.070</v>
      </c>
      <c r="U426" t="str">
        <f t="shared" si="18"/>
        <v>A0F928</v>
      </c>
      <c r="V426">
        <v>0</v>
      </c>
      <c r="W426">
        <v>0</v>
      </c>
      <c r="X426">
        <v>2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0</v>
      </c>
      <c r="AG426">
        <v>2</v>
      </c>
      <c r="AH426">
        <v>1</v>
      </c>
      <c r="AI426" t="s">
        <v>336</v>
      </c>
      <c r="AJ426">
        <v>35.802512</v>
      </c>
      <c r="AK426" t="s">
        <v>337</v>
      </c>
      <c r="AL426">
        <v>-83.962261999999996</v>
      </c>
      <c r="AM426">
        <v>25</v>
      </c>
      <c r="AN426">
        <v>1675</v>
      </c>
      <c r="AO426" t="s">
        <v>118</v>
      </c>
      <c r="AP426">
        <v>89</v>
      </c>
      <c r="AQ426">
        <v>96</v>
      </c>
      <c r="AR426">
        <v>-320</v>
      </c>
      <c r="AZ426">
        <v>300</v>
      </c>
      <c r="BA426">
        <v>1</v>
      </c>
      <c r="BB426" t="str">
        <f t="shared" si="20"/>
        <v xml:space="preserve">N162AM  </v>
      </c>
      <c r="BC426">
        <v>1</v>
      </c>
      <c r="BE426">
        <v>0</v>
      </c>
      <c r="BF426">
        <v>0</v>
      </c>
      <c r="BG426">
        <v>0</v>
      </c>
      <c r="BH426">
        <v>1925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>"14:44:24.572"</f>
        <v>14:44:24.572</v>
      </c>
      <c r="CJ426">
        <v>2</v>
      </c>
      <c r="CK426">
        <v>2</v>
      </c>
      <c r="CL426">
        <v>0</v>
      </c>
      <c r="CM426">
        <v>2</v>
      </c>
      <c r="CN426">
        <v>0</v>
      </c>
      <c r="CO426">
        <v>5</v>
      </c>
      <c r="CP426" t="s">
        <v>119</v>
      </c>
      <c r="CQ426">
        <v>232</v>
      </c>
      <c r="CR426">
        <v>1</v>
      </c>
      <c r="CW426">
        <v>14984831</v>
      </c>
      <c r="CY426">
        <v>1</v>
      </c>
      <c r="CZ426">
        <v>0</v>
      </c>
      <c r="DA426">
        <v>0</v>
      </c>
      <c r="DB426">
        <v>0</v>
      </c>
      <c r="DC426">
        <v>0</v>
      </c>
      <c r="DD426">
        <v>1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"12/16/2021 14:44:24.771"</f>
        <v>12/16/2021 14:44:24.771</v>
      </c>
      <c r="C427" t="str">
        <f t="shared" si="19"/>
        <v>FFDFD3C0</v>
      </c>
      <c r="D427" t="s">
        <v>124</v>
      </c>
      <c r="E427">
        <v>5</v>
      </c>
      <c r="F427">
        <v>1005</v>
      </c>
      <c r="G427" t="s">
        <v>114</v>
      </c>
      <c r="J427" t="s">
        <v>125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"14:44:24.570"</f>
        <v>14:44:24.570</v>
      </c>
      <c r="T427" t="str">
        <f>"14:44:24.070"</f>
        <v>14:44:24.070</v>
      </c>
      <c r="U427" t="str">
        <f t="shared" si="18"/>
        <v>A0F928</v>
      </c>
      <c r="V427">
        <v>0</v>
      </c>
      <c r="W427">
        <v>0</v>
      </c>
      <c r="X427">
        <v>2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1</v>
      </c>
      <c r="AI427" t="s">
        <v>336</v>
      </c>
      <c r="AJ427">
        <v>35.802512</v>
      </c>
      <c r="AK427" t="s">
        <v>337</v>
      </c>
      <c r="AL427">
        <v>-83.962261999999996</v>
      </c>
      <c r="AM427">
        <v>25</v>
      </c>
      <c r="AN427">
        <v>1675</v>
      </c>
      <c r="AO427" t="s">
        <v>118</v>
      </c>
      <c r="AP427">
        <v>89</v>
      </c>
      <c r="AQ427">
        <v>96</v>
      </c>
      <c r="AR427">
        <v>-320</v>
      </c>
      <c r="AZ427">
        <v>300</v>
      </c>
      <c r="BA427">
        <v>1</v>
      </c>
      <c r="BB427" t="str">
        <f t="shared" si="20"/>
        <v xml:space="preserve">N162AM  </v>
      </c>
      <c r="BC427">
        <v>1</v>
      </c>
      <c r="BE427">
        <v>0</v>
      </c>
      <c r="BF427">
        <v>0</v>
      </c>
      <c r="BG427">
        <v>0</v>
      </c>
      <c r="BH427">
        <v>1925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>"14:44:24.572"</f>
        <v>14:44:24.572</v>
      </c>
      <c r="CJ427">
        <v>3</v>
      </c>
      <c r="CK427">
        <v>2</v>
      </c>
      <c r="CL427">
        <v>0</v>
      </c>
      <c r="CM427">
        <v>2</v>
      </c>
      <c r="CN427">
        <v>0</v>
      </c>
      <c r="CO427">
        <v>5</v>
      </c>
      <c r="CP427" t="s">
        <v>119</v>
      </c>
      <c r="CQ427">
        <v>232</v>
      </c>
      <c r="CR427">
        <v>1</v>
      </c>
      <c r="CW427">
        <v>14984831</v>
      </c>
      <c r="CY427">
        <v>1</v>
      </c>
      <c r="CZ427">
        <v>0</v>
      </c>
      <c r="DA427">
        <v>1</v>
      </c>
      <c r="DB427">
        <v>0</v>
      </c>
      <c r="DC427">
        <v>0</v>
      </c>
      <c r="DD427">
        <v>1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"12/16/2021 14:44:24.771"</f>
        <v>12/16/2021 14:44:24.771</v>
      </c>
      <c r="C428" t="str">
        <f t="shared" si="19"/>
        <v>FFDFD3C0</v>
      </c>
      <c r="D428" t="s">
        <v>113</v>
      </c>
      <c r="E428">
        <v>8</v>
      </c>
      <c r="H428">
        <v>176</v>
      </c>
      <c r="I428" t="s">
        <v>114</v>
      </c>
      <c r="J428" t="s">
        <v>115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"14:44:24.570"</f>
        <v>14:44:24.570</v>
      </c>
      <c r="T428" t="str">
        <f>"14:44:24.070"</f>
        <v>14:44:24.070</v>
      </c>
      <c r="U428" t="str">
        <f t="shared" si="18"/>
        <v>A0F928</v>
      </c>
      <c r="V428">
        <v>0</v>
      </c>
      <c r="W428">
        <v>0</v>
      </c>
      <c r="X428">
        <v>2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1</v>
      </c>
      <c r="AI428" t="s">
        <v>336</v>
      </c>
      <c r="AJ428">
        <v>35.802512</v>
      </c>
      <c r="AK428" t="s">
        <v>337</v>
      </c>
      <c r="AL428">
        <v>-83.962261999999996</v>
      </c>
      <c r="AM428">
        <v>25</v>
      </c>
      <c r="AN428">
        <v>1675</v>
      </c>
      <c r="AO428" t="s">
        <v>118</v>
      </c>
      <c r="AP428">
        <v>89</v>
      </c>
      <c r="AQ428">
        <v>96</v>
      </c>
      <c r="AR428">
        <v>-320</v>
      </c>
      <c r="AZ428">
        <v>300</v>
      </c>
      <c r="BA428">
        <v>1</v>
      </c>
      <c r="BB428" t="str">
        <f t="shared" si="20"/>
        <v xml:space="preserve">N162AM  </v>
      </c>
      <c r="BC428">
        <v>1</v>
      </c>
      <c r="BE428">
        <v>0</v>
      </c>
      <c r="BF428">
        <v>0</v>
      </c>
      <c r="BG428">
        <v>0</v>
      </c>
      <c r="BH428">
        <v>1925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>"14:44:24.572"</f>
        <v>14:44:24.572</v>
      </c>
      <c r="CJ428">
        <v>3</v>
      </c>
      <c r="CK428">
        <v>2</v>
      </c>
      <c r="CL428">
        <v>0</v>
      </c>
      <c r="CM428">
        <v>2</v>
      </c>
      <c r="CN428">
        <v>0</v>
      </c>
      <c r="CO428">
        <v>5</v>
      </c>
      <c r="CP428" t="s">
        <v>119</v>
      </c>
      <c r="CQ428">
        <v>232</v>
      </c>
      <c r="CR428">
        <v>1</v>
      </c>
      <c r="CW428">
        <v>14984831</v>
      </c>
      <c r="CY428">
        <v>1</v>
      </c>
      <c r="CZ428">
        <v>0</v>
      </c>
      <c r="DA428">
        <v>1</v>
      </c>
      <c r="DB428">
        <v>0</v>
      </c>
      <c r="DC428">
        <v>0</v>
      </c>
      <c r="DD428">
        <v>1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"12/16/2021 14:44:24.787"</f>
        <v>12/16/2021 14:44:24.787</v>
      </c>
      <c r="C429" t="str">
        <f t="shared" si="19"/>
        <v>FFDFD3C0</v>
      </c>
      <c r="D429" t="s">
        <v>133</v>
      </c>
      <c r="E429">
        <v>44</v>
      </c>
      <c r="H429">
        <v>131</v>
      </c>
      <c r="I429" t="s">
        <v>134</v>
      </c>
      <c r="J429" t="s">
        <v>135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"14:44:24.570"</f>
        <v>14:44:24.570</v>
      </c>
      <c r="T429" t="str">
        <f>"14:44:24.070"</f>
        <v>14:44:24.070</v>
      </c>
      <c r="U429" t="str">
        <f t="shared" si="18"/>
        <v>A0F928</v>
      </c>
      <c r="V429">
        <v>0</v>
      </c>
      <c r="W429">
        <v>0</v>
      </c>
      <c r="X429">
        <v>2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1</v>
      </c>
      <c r="AI429" t="s">
        <v>336</v>
      </c>
      <c r="AJ429">
        <v>35.802512</v>
      </c>
      <c r="AK429" t="s">
        <v>337</v>
      </c>
      <c r="AL429">
        <v>-83.962261999999996</v>
      </c>
      <c r="AM429">
        <v>25</v>
      </c>
      <c r="AN429">
        <v>1675</v>
      </c>
      <c r="AO429" t="s">
        <v>118</v>
      </c>
      <c r="AP429">
        <v>89</v>
      </c>
      <c r="AQ429">
        <v>96</v>
      </c>
      <c r="AR429">
        <v>-320</v>
      </c>
      <c r="AZ429">
        <v>300</v>
      </c>
      <c r="BA429">
        <v>1</v>
      </c>
      <c r="BB429" t="str">
        <f t="shared" si="20"/>
        <v xml:space="preserve">N162AM  </v>
      </c>
      <c r="BC429">
        <v>1</v>
      </c>
      <c r="BE429">
        <v>0</v>
      </c>
      <c r="BF429">
        <v>0</v>
      </c>
      <c r="BG429">
        <v>0</v>
      </c>
      <c r="BH429">
        <v>1925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>"14:44:24.572"</f>
        <v>14:44:24.572</v>
      </c>
      <c r="CJ429">
        <v>3</v>
      </c>
      <c r="CK429">
        <v>2</v>
      </c>
      <c r="CL429">
        <v>0</v>
      </c>
      <c r="CM429">
        <v>2</v>
      </c>
      <c r="CN429">
        <v>0</v>
      </c>
      <c r="CO429">
        <v>5</v>
      </c>
      <c r="CP429" t="s">
        <v>119</v>
      </c>
      <c r="CQ429">
        <v>232</v>
      </c>
      <c r="CR429">
        <v>1</v>
      </c>
      <c r="CW429">
        <v>14984831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1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"12/16/2021 14:44:25.810"</f>
        <v>12/16/2021 14:44:25.810</v>
      </c>
      <c r="C430" t="str">
        <f t="shared" si="19"/>
        <v>FFDFD3C0</v>
      </c>
      <c r="D430" t="s">
        <v>113</v>
      </c>
      <c r="E430">
        <v>8</v>
      </c>
      <c r="H430">
        <v>176</v>
      </c>
      <c r="I430" t="s">
        <v>114</v>
      </c>
      <c r="J430" t="s">
        <v>115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"14:44:25.586"</f>
        <v>14:44:25.586</v>
      </c>
      <c r="T430" t="str">
        <f>"14:44:25.186"</f>
        <v>14:44:25.186</v>
      </c>
      <c r="U430" t="str">
        <f t="shared" si="18"/>
        <v>A0F928</v>
      </c>
      <c r="V430">
        <v>0</v>
      </c>
      <c r="W430">
        <v>0</v>
      </c>
      <c r="X430">
        <v>2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1</v>
      </c>
      <c r="AI430" t="s">
        <v>338</v>
      </c>
      <c r="AJ430">
        <v>35.802984000000002</v>
      </c>
      <c r="AK430" t="s">
        <v>339</v>
      </c>
      <c r="AL430">
        <v>-83.961747000000003</v>
      </c>
      <c r="AM430">
        <v>25</v>
      </c>
      <c r="AN430">
        <v>1650</v>
      </c>
      <c r="AO430" t="s">
        <v>118</v>
      </c>
      <c r="AP430">
        <v>89</v>
      </c>
      <c r="AQ430">
        <v>96</v>
      </c>
      <c r="AR430">
        <v>-448</v>
      </c>
      <c r="AZ430">
        <v>300</v>
      </c>
      <c r="BA430">
        <v>1</v>
      </c>
      <c r="BB430" t="str">
        <f t="shared" si="20"/>
        <v xml:space="preserve">N162AM  </v>
      </c>
      <c r="BC430">
        <v>1</v>
      </c>
      <c r="BE430">
        <v>0</v>
      </c>
      <c r="BF430">
        <v>0</v>
      </c>
      <c r="BG430">
        <v>0</v>
      </c>
      <c r="BH430">
        <v>1925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>"14:44:25.590"</f>
        <v>14:44:25.590</v>
      </c>
      <c r="CJ430">
        <v>3</v>
      </c>
      <c r="CK430">
        <v>2</v>
      </c>
      <c r="CL430">
        <v>0</v>
      </c>
      <c r="CM430">
        <v>2</v>
      </c>
      <c r="CN430">
        <v>0</v>
      </c>
      <c r="CO430">
        <v>5</v>
      </c>
      <c r="CP430" t="s">
        <v>119</v>
      </c>
      <c r="CQ430">
        <v>232</v>
      </c>
      <c r="CR430">
        <v>1</v>
      </c>
      <c r="CW430">
        <v>14986378</v>
      </c>
      <c r="CY430">
        <v>1</v>
      </c>
      <c r="CZ430">
        <v>0</v>
      </c>
      <c r="DA430">
        <v>0</v>
      </c>
      <c r="DB430">
        <v>0</v>
      </c>
      <c r="DC430">
        <v>0</v>
      </c>
      <c r="DD430">
        <v>1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"12/16/2021 14:44:25.810"</f>
        <v>12/16/2021 14:44:25.810</v>
      </c>
      <c r="C431" t="str">
        <f t="shared" si="19"/>
        <v>FFDFD3C0</v>
      </c>
      <c r="D431" t="s">
        <v>133</v>
      </c>
      <c r="E431">
        <v>44</v>
      </c>
      <c r="H431">
        <v>131</v>
      </c>
      <c r="I431" t="s">
        <v>134</v>
      </c>
      <c r="J431" t="s">
        <v>135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"14:44:25.586"</f>
        <v>14:44:25.586</v>
      </c>
      <c r="T431" t="str">
        <f>"14:44:25.186"</f>
        <v>14:44:25.186</v>
      </c>
      <c r="U431" t="str">
        <f t="shared" si="18"/>
        <v>A0F928</v>
      </c>
      <c r="V431">
        <v>0</v>
      </c>
      <c r="W431">
        <v>0</v>
      </c>
      <c r="X431">
        <v>2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1</v>
      </c>
      <c r="AI431" t="s">
        <v>338</v>
      </c>
      <c r="AJ431">
        <v>35.802984000000002</v>
      </c>
      <c r="AK431" t="s">
        <v>339</v>
      </c>
      <c r="AL431">
        <v>-83.961747000000003</v>
      </c>
      <c r="AM431">
        <v>25</v>
      </c>
      <c r="AN431">
        <v>1650</v>
      </c>
      <c r="AO431" t="s">
        <v>118</v>
      </c>
      <c r="AP431">
        <v>89</v>
      </c>
      <c r="AQ431">
        <v>96</v>
      </c>
      <c r="AR431">
        <v>-448</v>
      </c>
      <c r="AZ431">
        <v>300</v>
      </c>
      <c r="BA431">
        <v>1</v>
      </c>
      <c r="BB431" t="str">
        <f t="shared" si="20"/>
        <v xml:space="preserve">N162AM  </v>
      </c>
      <c r="BC431">
        <v>1</v>
      </c>
      <c r="BE431">
        <v>0</v>
      </c>
      <c r="BF431">
        <v>0</v>
      </c>
      <c r="BG431">
        <v>0</v>
      </c>
      <c r="BH431">
        <v>1925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>"14:44:25.590"</f>
        <v>14:44:25.590</v>
      </c>
      <c r="CJ431">
        <v>3</v>
      </c>
      <c r="CK431">
        <v>2</v>
      </c>
      <c r="CL431">
        <v>0</v>
      </c>
      <c r="CM431">
        <v>2</v>
      </c>
      <c r="CN431">
        <v>0</v>
      </c>
      <c r="CO431">
        <v>5</v>
      </c>
      <c r="CP431" t="s">
        <v>119</v>
      </c>
      <c r="CQ431">
        <v>232</v>
      </c>
      <c r="CR431">
        <v>1</v>
      </c>
      <c r="CW431">
        <v>14986378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1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"12/16/2021 14:44:25.826"</f>
        <v>12/16/2021 14:44:25.826</v>
      </c>
      <c r="C432" t="str">
        <f t="shared" si="19"/>
        <v>FFDFD3C0</v>
      </c>
      <c r="D432" t="s">
        <v>124</v>
      </c>
      <c r="E432">
        <v>10</v>
      </c>
      <c r="F432">
        <v>1010</v>
      </c>
      <c r="G432" t="s">
        <v>130</v>
      </c>
      <c r="J432" t="s">
        <v>125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"14:44:25.586"</f>
        <v>14:44:25.586</v>
      </c>
      <c r="T432" t="str">
        <f>"14:44:25.186"</f>
        <v>14:44:25.186</v>
      </c>
      <c r="U432" t="str">
        <f t="shared" si="18"/>
        <v>A0F928</v>
      </c>
      <c r="V432">
        <v>0</v>
      </c>
      <c r="W432">
        <v>0</v>
      </c>
      <c r="X432">
        <v>2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0</v>
      </c>
      <c r="AG432">
        <v>2</v>
      </c>
      <c r="AH432">
        <v>1</v>
      </c>
      <c r="AI432" t="s">
        <v>338</v>
      </c>
      <c r="AJ432">
        <v>35.802984000000002</v>
      </c>
      <c r="AK432" t="s">
        <v>339</v>
      </c>
      <c r="AL432">
        <v>-83.961747000000003</v>
      </c>
      <c r="AM432">
        <v>25</v>
      </c>
      <c r="AN432">
        <v>1650</v>
      </c>
      <c r="AO432" t="s">
        <v>118</v>
      </c>
      <c r="AP432">
        <v>89</v>
      </c>
      <c r="AQ432">
        <v>96</v>
      </c>
      <c r="AR432">
        <v>-448</v>
      </c>
      <c r="AZ432">
        <v>300</v>
      </c>
      <c r="BA432">
        <v>1</v>
      </c>
      <c r="BB432" t="str">
        <f t="shared" si="20"/>
        <v xml:space="preserve">N162AM  </v>
      </c>
      <c r="BC432">
        <v>1</v>
      </c>
      <c r="BE432">
        <v>0</v>
      </c>
      <c r="BF432">
        <v>0</v>
      </c>
      <c r="BG432">
        <v>0</v>
      </c>
      <c r="BH432">
        <v>1925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>"14:44:25.590"</f>
        <v>14:44:25.590</v>
      </c>
      <c r="CJ432">
        <v>2</v>
      </c>
      <c r="CK432">
        <v>2</v>
      </c>
      <c r="CL432">
        <v>0</v>
      </c>
      <c r="CM432">
        <v>2</v>
      </c>
      <c r="CN432">
        <v>0</v>
      </c>
      <c r="CO432">
        <v>5</v>
      </c>
      <c r="CP432" t="s">
        <v>119</v>
      </c>
      <c r="CQ432">
        <v>232</v>
      </c>
      <c r="CR432">
        <v>1</v>
      </c>
      <c r="CW432">
        <v>14986378</v>
      </c>
      <c r="CY432">
        <v>1</v>
      </c>
      <c r="CZ432">
        <v>0</v>
      </c>
      <c r="DA432">
        <v>1</v>
      </c>
      <c r="DB432">
        <v>0</v>
      </c>
      <c r="DC432">
        <v>0</v>
      </c>
      <c r="DD432">
        <v>1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"12/16/2021 14:44:25.826"</f>
        <v>12/16/2021 14:44:25.826</v>
      </c>
      <c r="C433" t="str">
        <f t="shared" si="19"/>
        <v>FFDFD3C0</v>
      </c>
      <c r="D433" t="s">
        <v>124</v>
      </c>
      <c r="E433">
        <v>5</v>
      </c>
      <c r="F433">
        <v>1005</v>
      </c>
      <c r="G433" t="s">
        <v>114</v>
      </c>
      <c r="J433" t="s">
        <v>125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"14:44:25.586"</f>
        <v>14:44:25.586</v>
      </c>
      <c r="T433" t="str">
        <f>"14:44:25.186"</f>
        <v>14:44:25.186</v>
      </c>
      <c r="U433" t="str">
        <f t="shared" si="18"/>
        <v>A0F928</v>
      </c>
      <c r="V433">
        <v>0</v>
      </c>
      <c r="W433">
        <v>0</v>
      </c>
      <c r="X433">
        <v>2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1</v>
      </c>
      <c r="AI433" t="s">
        <v>338</v>
      </c>
      <c r="AJ433">
        <v>35.802984000000002</v>
      </c>
      <c r="AK433" t="s">
        <v>339</v>
      </c>
      <c r="AL433">
        <v>-83.961747000000003</v>
      </c>
      <c r="AM433">
        <v>25</v>
      </c>
      <c r="AN433">
        <v>1650</v>
      </c>
      <c r="AO433" t="s">
        <v>118</v>
      </c>
      <c r="AP433">
        <v>89</v>
      </c>
      <c r="AQ433">
        <v>96</v>
      </c>
      <c r="AR433">
        <v>-448</v>
      </c>
      <c r="AZ433">
        <v>300</v>
      </c>
      <c r="BA433">
        <v>1</v>
      </c>
      <c r="BB433" t="str">
        <f t="shared" si="20"/>
        <v xml:space="preserve">N162AM  </v>
      </c>
      <c r="BC433">
        <v>1</v>
      </c>
      <c r="BE433">
        <v>0</v>
      </c>
      <c r="BF433">
        <v>0</v>
      </c>
      <c r="BG433">
        <v>0</v>
      </c>
      <c r="BH433">
        <v>1925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>"14:44:25.590"</f>
        <v>14:44:25.590</v>
      </c>
      <c r="CJ433">
        <v>3</v>
      </c>
      <c r="CK433">
        <v>2</v>
      </c>
      <c r="CL433">
        <v>0</v>
      </c>
      <c r="CM433">
        <v>2</v>
      </c>
      <c r="CN433">
        <v>0</v>
      </c>
      <c r="CO433">
        <v>5</v>
      </c>
      <c r="CP433" t="s">
        <v>119</v>
      </c>
      <c r="CQ433">
        <v>232</v>
      </c>
      <c r="CR433">
        <v>1</v>
      </c>
      <c r="CW433">
        <v>14986378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1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"12/16/2021 14:44:26.810"</f>
        <v>12/16/2021 14:44:26.810</v>
      </c>
      <c r="C434" t="str">
        <f t="shared" si="19"/>
        <v>FFDFD3C0</v>
      </c>
      <c r="D434" t="s">
        <v>113</v>
      </c>
      <c r="E434">
        <v>8</v>
      </c>
      <c r="H434">
        <v>176</v>
      </c>
      <c r="I434" t="s">
        <v>114</v>
      </c>
      <c r="J434" t="s">
        <v>115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"14:44:26.602"</f>
        <v>14:44:26.602</v>
      </c>
      <c r="T434" t="str">
        <f>"14:44:26.102"</f>
        <v>14:44:26.102</v>
      </c>
      <c r="U434" t="str">
        <f t="shared" si="18"/>
        <v>A0F928</v>
      </c>
      <c r="V434">
        <v>0</v>
      </c>
      <c r="W434">
        <v>0</v>
      </c>
      <c r="X434">
        <v>2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1</v>
      </c>
      <c r="AI434" t="s">
        <v>340</v>
      </c>
      <c r="AJ434">
        <v>35.803435</v>
      </c>
      <c r="AK434" t="s">
        <v>341</v>
      </c>
      <c r="AL434">
        <v>-83.961231999999995</v>
      </c>
      <c r="AM434">
        <v>25</v>
      </c>
      <c r="AN434">
        <v>1650</v>
      </c>
      <c r="AO434" t="s">
        <v>118</v>
      </c>
      <c r="AP434">
        <v>90</v>
      </c>
      <c r="AQ434">
        <v>95</v>
      </c>
      <c r="AR434">
        <v>-448</v>
      </c>
      <c r="AZ434">
        <v>300</v>
      </c>
      <c r="BA434">
        <v>1</v>
      </c>
      <c r="BB434" t="str">
        <f t="shared" si="20"/>
        <v xml:space="preserve">N162AM  </v>
      </c>
      <c r="BC434">
        <v>1</v>
      </c>
      <c r="BE434">
        <v>0</v>
      </c>
      <c r="BF434">
        <v>0</v>
      </c>
      <c r="BG434">
        <v>0</v>
      </c>
      <c r="BH434">
        <v>1900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>"14:44:26.602"</f>
        <v>14:44:26.602</v>
      </c>
      <c r="CJ434">
        <v>3</v>
      </c>
      <c r="CK434">
        <v>2</v>
      </c>
      <c r="CL434">
        <v>0</v>
      </c>
      <c r="CM434">
        <v>2</v>
      </c>
      <c r="CN434">
        <v>0</v>
      </c>
      <c r="CO434">
        <v>5</v>
      </c>
      <c r="CP434" t="s">
        <v>119</v>
      </c>
      <c r="CQ434">
        <v>232</v>
      </c>
      <c r="CR434">
        <v>1</v>
      </c>
      <c r="CW434">
        <v>14988018</v>
      </c>
      <c r="CY434">
        <v>1</v>
      </c>
      <c r="CZ434">
        <v>0</v>
      </c>
      <c r="DA434">
        <v>0</v>
      </c>
      <c r="DB434">
        <v>0</v>
      </c>
      <c r="DC434">
        <v>0</v>
      </c>
      <c r="DD434">
        <v>1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"12/16/2021 14:44:26.826"</f>
        <v>12/16/2021 14:44:26.826</v>
      </c>
      <c r="C435" t="str">
        <f t="shared" si="19"/>
        <v>FFDFD3C0</v>
      </c>
      <c r="D435" t="s">
        <v>133</v>
      </c>
      <c r="E435">
        <v>44</v>
      </c>
      <c r="H435">
        <v>131</v>
      </c>
      <c r="I435" t="s">
        <v>134</v>
      </c>
      <c r="J435" t="s">
        <v>135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"14:44:26.602"</f>
        <v>14:44:26.602</v>
      </c>
      <c r="T435" t="str">
        <f>"14:44:26.102"</f>
        <v>14:44:26.102</v>
      </c>
      <c r="U435" t="str">
        <f t="shared" si="18"/>
        <v>A0F928</v>
      </c>
      <c r="V435">
        <v>0</v>
      </c>
      <c r="W435">
        <v>0</v>
      </c>
      <c r="X435">
        <v>2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1</v>
      </c>
      <c r="AI435" t="s">
        <v>340</v>
      </c>
      <c r="AJ435">
        <v>35.803435</v>
      </c>
      <c r="AK435" t="s">
        <v>341</v>
      </c>
      <c r="AL435">
        <v>-83.961231999999995</v>
      </c>
      <c r="AM435">
        <v>25</v>
      </c>
      <c r="AN435">
        <v>1650</v>
      </c>
      <c r="AO435" t="s">
        <v>118</v>
      </c>
      <c r="AP435">
        <v>90</v>
      </c>
      <c r="AQ435">
        <v>95</v>
      </c>
      <c r="AR435">
        <v>-448</v>
      </c>
      <c r="AZ435">
        <v>300</v>
      </c>
      <c r="BA435">
        <v>1</v>
      </c>
      <c r="BB435" t="str">
        <f t="shared" si="20"/>
        <v xml:space="preserve">N162AM  </v>
      </c>
      <c r="BC435">
        <v>1</v>
      </c>
      <c r="BE435">
        <v>0</v>
      </c>
      <c r="BF435">
        <v>0</v>
      </c>
      <c r="BG435">
        <v>0</v>
      </c>
      <c r="BH435">
        <v>1900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>"14:44:26.602"</f>
        <v>14:44:26.602</v>
      </c>
      <c r="CJ435">
        <v>3</v>
      </c>
      <c r="CK435">
        <v>2</v>
      </c>
      <c r="CL435">
        <v>0</v>
      </c>
      <c r="CM435">
        <v>2</v>
      </c>
      <c r="CN435">
        <v>0</v>
      </c>
      <c r="CO435">
        <v>5</v>
      </c>
      <c r="CP435" t="s">
        <v>119</v>
      </c>
      <c r="CQ435">
        <v>232</v>
      </c>
      <c r="CR435">
        <v>1</v>
      </c>
      <c r="CW435">
        <v>14988018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1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"12/16/2021 14:44:26.826"</f>
        <v>12/16/2021 14:44:26.826</v>
      </c>
      <c r="C436" t="str">
        <f t="shared" si="19"/>
        <v>FFDFD3C0</v>
      </c>
      <c r="D436" t="s">
        <v>124</v>
      </c>
      <c r="E436">
        <v>10</v>
      </c>
      <c r="F436">
        <v>1010</v>
      </c>
      <c r="G436" t="s">
        <v>130</v>
      </c>
      <c r="J436" t="s">
        <v>125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"14:44:26.602"</f>
        <v>14:44:26.602</v>
      </c>
      <c r="T436" t="str">
        <f>"14:44:26.102"</f>
        <v>14:44:26.102</v>
      </c>
      <c r="U436" t="str">
        <f t="shared" si="18"/>
        <v>A0F928</v>
      </c>
      <c r="V436">
        <v>0</v>
      </c>
      <c r="W436">
        <v>0</v>
      </c>
      <c r="X436">
        <v>2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0</v>
      </c>
      <c r="AG436">
        <v>2</v>
      </c>
      <c r="AH436">
        <v>1</v>
      </c>
      <c r="AI436" t="s">
        <v>340</v>
      </c>
      <c r="AJ436">
        <v>35.803435</v>
      </c>
      <c r="AK436" t="s">
        <v>341</v>
      </c>
      <c r="AL436">
        <v>-83.961231999999995</v>
      </c>
      <c r="AM436">
        <v>25</v>
      </c>
      <c r="AN436">
        <v>1650</v>
      </c>
      <c r="AO436" t="s">
        <v>118</v>
      </c>
      <c r="AP436">
        <v>90</v>
      </c>
      <c r="AQ436">
        <v>95</v>
      </c>
      <c r="AR436">
        <v>-448</v>
      </c>
      <c r="AZ436">
        <v>300</v>
      </c>
      <c r="BA436">
        <v>1</v>
      </c>
      <c r="BB436" t="str">
        <f t="shared" si="20"/>
        <v xml:space="preserve">N162AM  </v>
      </c>
      <c r="BC436">
        <v>1</v>
      </c>
      <c r="BE436">
        <v>0</v>
      </c>
      <c r="BF436">
        <v>0</v>
      </c>
      <c r="BG436">
        <v>0</v>
      </c>
      <c r="BH436">
        <v>1900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>"14:44:26.602"</f>
        <v>14:44:26.602</v>
      </c>
      <c r="CJ436">
        <v>2</v>
      </c>
      <c r="CK436">
        <v>2</v>
      </c>
      <c r="CL436">
        <v>0</v>
      </c>
      <c r="CM436">
        <v>2</v>
      </c>
      <c r="CN436">
        <v>0</v>
      </c>
      <c r="CO436">
        <v>5</v>
      </c>
      <c r="CP436" t="s">
        <v>119</v>
      </c>
      <c r="CQ436">
        <v>232</v>
      </c>
      <c r="CR436">
        <v>1</v>
      </c>
      <c r="CW436">
        <v>14988018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1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"12/16/2021 14:44:26.842"</f>
        <v>12/16/2021 14:44:26.842</v>
      </c>
      <c r="C437" t="str">
        <f t="shared" si="19"/>
        <v>FFDFD3C0</v>
      </c>
      <c r="D437" t="s">
        <v>124</v>
      </c>
      <c r="E437">
        <v>5</v>
      </c>
      <c r="F437">
        <v>1005</v>
      </c>
      <c r="G437" t="s">
        <v>114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"14:44:26.602"</f>
        <v>14:44:26.602</v>
      </c>
      <c r="T437" t="str">
        <f>"14:44:26.102"</f>
        <v>14:44:26.102</v>
      </c>
      <c r="U437" t="str">
        <f t="shared" si="18"/>
        <v>A0F928</v>
      </c>
      <c r="V437">
        <v>0</v>
      </c>
      <c r="W437">
        <v>0</v>
      </c>
      <c r="X437">
        <v>2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1</v>
      </c>
      <c r="AI437" t="s">
        <v>340</v>
      </c>
      <c r="AJ437">
        <v>35.803435</v>
      </c>
      <c r="AK437" t="s">
        <v>341</v>
      </c>
      <c r="AL437">
        <v>-83.961231999999995</v>
      </c>
      <c r="AM437">
        <v>25</v>
      </c>
      <c r="AN437">
        <v>1650</v>
      </c>
      <c r="AO437" t="s">
        <v>118</v>
      </c>
      <c r="AP437">
        <v>90</v>
      </c>
      <c r="AQ437">
        <v>95</v>
      </c>
      <c r="AR437">
        <v>-448</v>
      </c>
      <c r="AZ437">
        <v>300</v>
      </c>
      <c r="BA437">
        <v>1</v>
      </c>
      <c r="BB437" t="str">
        <f t="shared" si="20"/>
        <v xml:space="preserve">N162AM  </v>
      </c>
      <c r="BC437">
        <v>1</v>
      </c>
      <c r="BE437">
        <v>0</v>
      </c>
      <c r="BF437">
        <v>0</v>
      </c>
      <c r="BG437">
        <v>0</v>
      </c>
      <c r="BH437">
        <v>1900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>"14:44:26.602"</f>
        <v>14:44:26.602</v>
      </c>
      <c r="CJ437">
        <v>3</v>
      </c>
      <c r="CK437">
        <v>2</v>
      </c>
      <c r="CL437">
        <v>0</v>
      </c>
      <c r="CM437">
        <v>2</v>
      </c>
      <c r="CN437">
        <v>0</v>
      </c>
      <c r="CO437">
        <v>5</v>
      </c>
      <c r="CP437" t="s">
        <v>119</v>
      </c>
      <c r="CQ437">
        <v>232</v>
      </c>
      <c r="CR437">
        <v>1</v>
      </c>
      <c r="CW437">
        <v>14988018</v>
      </c>
      <c r="CY437">
        <v>1</v>
      </c>
      <c r="CZ437">
        <v>0</v>
      </c>
      <c r="DA437">
        <v>1</v>
      </c>
      <c r="DB437">
        <v>0</v>
      </c>
      <c r="DC437">
        <v>0</v>
      </c>
      <c r="DD437">
        <v>1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"12/16/2021 14:44:27.873"</f>
        <v>12/16/2021 14:44:27.873</v>
      </c>
      <c r="C438" t="str">
        <f t="shared" si="19"/>
        <v>FFDFD3C0</v>
      </c>
      <c r="D438" t="s">
        <v>124</v>
      </c>
      <c r="E438">
        <v>10</v>
      </c>
      <c r="F438">
        <v>1010</v>
      </c>
      <c r="G438" t="s">
        <v>130</v>
      </c>
      <c r="J438" t="s">
        <v>125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"14:44:27.648"</f>
        <v>14:44:27.648</v>
      </c>
      <c r="T438" t="str">
        <f>"14:44:27.148"</f>
        <v>14:44:27.148</v>
      </c>
      <c r="U438" t="str">
        <f t="shared" si="18"/>
        <v>A0F928</v>
      </c>
      <c r="V438">
        <v>0</v>
      </c>
      <c r="W438">
        <v>0</v>
      </c>
      <c r="X438">
        <v>2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0</v>
      </c>
      <c r="AG438">
        <v>2</v>
      </c>
      <c r="AH438">
        <v>1</v>
      </c>
      <c r="AI438" t="s">
        <v>342</v>
      </c>
      <c r="AJ438">
        <v>35.803885000000001</v>
      </c>
      <c r="AK438" t="s">
        <v>343</v>
      </c>
      <c r="AL438">
        <v>-83.960673999999997</v>
      </c>
      <c r="AM438">
        <v>25</v>
      </c>
      <c r="AN438">
        <v>1650</v>
      </c>
      <c r="AO438" t="s">
        <v>118</v>
      </c>
      <c r="AP438">
        <v>90</v>
      </c>
      <c r="AQ438">
        <v>94</v>
      </c>
      <c r="AR438">
        <v>-512</v>
      </c>
      <c r="AZ438">
        <v>300</v>
      </c>
      <c r="BA438">
        <v>1</v>
      </c>
      <c r="BB438" t="str">
        <f t="shared" si="20"/>
        <v xml:space="preserve">N162AM  </v>
      </c>
      <c r="BC438">
        <v>1</v>
      </c>
      <c r="BE438">
        <v>0</v>
      </c>
      <c r="BF438">
        <v>0</v>
      </c>
      <c r="BG438">
        <v>0</v>
      </c>
      <c r="BH438">
        <v>1900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>"14:44:27.651"</f>
        <v>14:44:27.651</v>
      </c>
      <c r="CJ438">
        <v>2</v>
      </c>
      <c r="CK438">
        <v>2</v>
      </c>
      <c r="CL438">
        <v>0</v>
      </c>
      <c r="CM438">
        <v>2</v>
      </c>
      <c r="CN438">
        <v>0</v>
      </c>
      <c r="CO438">
        <v>5</v>
      </c>
      <c r="CP438" t="s">
        <v>119</v>
      </c>
      <c r="CQ438">
        <v>232</v>
      </c>
      <c r="CR438">
        <v>1</v>
      </c>
      <c r="CW438">
        <v>14989651</v>
      </c>
      <c r="CY438">
        <v>1</v>
      </c>
      <c r="CZ438">
        <v>0</v>
      </c>
      <c r="DA438">
        <v>0</v>
      </c>
      <c r="DB438">
        <v>0</v>
      </c>
      <c r="DC438">
        <v>0</v>
      </c>
      <c r="DD438">
        <v>1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"12/16/2021 14:44:27.873"</f>
        <v>12/16/2021 14:44:27.873</v>
      </c>
      <c r="C439" t="str">
        <f t="shared" si="19"/>
        <v>FFDFD3C0</v>
      </c>
      <c r="D439" t="s">
        <v>113</v>
      </c>
      <c r="E439">
        <v>8</v>
      </c>
      <c r="H439">
        <v>176</v>
      </c>
      <c r="I439" t="s">
        <v>114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"14:44:27.648"</f>
        <v>14:44:27.648</v>
      </c>
      <c r="T439" t="str">
        <f>"14:44:27.148"</f>
        <v>14:44:27.148</v>
      </c>
      <c r="U439" t="str">
        <f t="shared" si="18"/>
        <v>A0F928</v>
      </c>
      <c r="V439">
        <v>0</v>
      </c>
      <c r="W439">
        <v>0</v>
      </c>
      <c r="X439">
        <v>2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1</v>
      </c>
      <c r="AI439" t="s">
        <v>342</v>
      </c>
      <c r="AJ439">
        <v>35.803885000000001</v>
      </c>
      <c r="AK439" t="s">
        <v>343</v>
      </c>
      <c r="AL439">
        <v>-83.960673999999997</v>
      </c>
      <c r="AM439">
        <v>25</v>
      </c>
      <c r="AN439">
        <v>1650</v>
      </c>
      <c r="AO439" t="s">
        <v>118</v>
      </c>
      <c r="AP439">
        <v>90</v>
      </c>
      <c r="AQ439">
        <v>94</v>
      </c>
      <c r="AR439">
        <v>-512</v>
      </c>
      <c r="AZ439">
        <v>300</v>
      </c>
      <c r="BA439">
        <v>1</v>
      </c>
      <c r="BB439" t="str">
        <f t="shared" si="20"/>
        <v xml:space="preserve">N162AM  </v>
      </c>
      <c r="BC439">
        <v>1</v>
      </c>
      <c r="BE439">
        <v>0</v>
      </c>
      <c r="BF439">
        <v>0</v>
      </c>
      <c r="BG439">
        <v>0</v>
      </c>
      <c r="BH439">
        <v>1900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>"14:44:27.651"</f>
        <v>14:44:27.651</v>
      </c>
      <c r="CJ439">
        <v>3</v>
      </c>
      <c r="CK439">
        <v>2</v>
      </c>
      <c r="CL439">
        <v>0</v>
      </c>
      <c r="CM439">
        <v>2</v>
      </c>
      <c r="CN439">
        <v>0</v>
      </c>
      <c r="CO439">
        <v>5</v>
      </c>
      <c r="CP439" t="s">
        <v>119</v>
      </c>
      <c r="CQ439">
        <v>232</v>
      </c>
      <c r="CR439">
        <v>1</v>
      </c>
      <c r="CW439">
        <v>14989651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1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"12/16/2021 14:44:27.873"</f>
        <v>12/16/2021 14:44:27.873</v>
      </c>
      <c r="C440" t="str">
        <f t="shared" si="19"/>
        <v>FFDFD3C0</v>
      </c>
      <c r="D440" t="s">
        <v>133</v>
      </c>
      <c r="E440">
        <v>44</v>
      </c>
      <c r="H440">
        <v>131</v>
      </c>
      <c r="I440" t="s">
        <v>134</v>
      </c>
      <c r="J440" t="s">
        <v>135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"14:44:27.648"</f>
        <v>14:44:27.648</v>
      </c>
      <c r="T440" t="str">
        <f>"14:44:27.148"</f>
        <v>14:44:27.148</v>
      </c>
      <c r="U440" t="str">
        <f t="shared" si="18"/>
        <v>A0F928</v>
      </c>
      <c r="V440">
        <v>0</v>
      </c>
      <c r="W440">
        <v>0</v>
      </c>
      <c r="X440">
        <v>2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1</v>
      </c>
      <c r="AI440" t="s">
        <v>342</v>
      </c>
      <c r="AJ440">
        <v>35.803885000000001</v>
      </c>
      <c r="AK440" t="s">
        <v>343</v>
      </c>
      <c r="AL440">
        <v>-83.960673999999997</v>
      </c>
      <c r="AM440">
        <v>25</v>
      </c>
      <c r="AN440">
        <v>1650</v>
      </c>
      <c r="AO440" t="s">
        <v>118</v>
      </c>
      <c r="AP440">
        <v>90</v>
      </c>
      <c r="AQ440">
        <v>94</v>
      </c>
      <c r="AR440">
        <v>-512</v>
      </c>
      <c r="AZ440">
        <v>300</v>
      </c>
      <c r="BA440">
        <v>1</v>
      </c>
      <c r="BB440" t="str">
        <f t="shared" si="20"/>
        <v xml:space="preserve">N162AM  </v>
      </c>
      <c r="BC440">
        <v>1</v>
      </c>
      <c r="BE440">
        <v>0</v>
      </c>
      <c r="BF440">
        <v>0</v>
      </c>
      <c r="BG440">
        <v>0</v>
      </c>
      <c r="BH440">
        <v>1900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>"14:44:27.651"</f>
        <v>14:44:27.651</v>
      </c>
      <c r="CJ440">
        <v>3</v>
      </c>
      <c r="CK440">
        <v>2</v>
      </c>
      <c r="CL440">
        <v>0</v>
      </c>
      <c r="CM440">
        <v>2</v>
      </c>
      <c r="CN440">
        <v>0</v>
      </c>
      <c r="CO440">
        <v>5</v>
      </c>
      <c r="CP440" t="s">
        <v>119</v>
      </c>
      <c r="CQ440">
        <v>232</v>
      </c>
      <c r="CR440">
        <v>1</v>
      </c>
      <c r="CW440">
        <v>14989651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1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"12/16/2021 14:44:27.888"</f>
        <v>12/16/2021 14:44:27.888</v>
      </c>
      <c r="C441" t="str">
        <f t="shared" si="19"/>
        <v>FFDFD3C0</v>
      </c>
      <c r="D441" t="s">
        <v>124</v>
      </c>
      <c r="E441">
        <v>5</v>
      </c>
      <c r="F441">
        <v>1005</v>
      </c>
      <c r="G441" t="s">
        <v>114</v>
      </c>
      <c r="J441" t="s">
        <v>125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"14:44:27.648"</f>
        <v>14:44:27.648</v>
      </c>
      <c r="T441" t="str">
        <f>"14:44:27.148"</f>
        <v>14:44:27.148</v>
      </c>
      <c r="U441" t="str">
        <f t="shared" si="18"/>
        <v>A0F928</v>
      </c>
      <c r="V441">
        <v>0</v>
      </c>
      <c r="W441">
        <v>0</v>
      </c>
      <c r="X441">
        <v>2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1</v>
      </c>
      <c r="AI441" t="s">
        <v>342</v>
      </c>
      <c r="AJ441">
        <v>35.803885000000001</v>
      </c>
      <c r="AK441" t="s">
        <v>343</v>
      </c>
      <c r="AL441">
        <v>-83.960673999999997</v>
      </c>
      <c r="AM441">
        <v>25</v>
      </c>
      <c r="AN441">
        <v>1650</v>
      </c>
      <c r="AO441" t="s">
        <v>118</v>
      </c>
      <c r="AP441">
        <v>90</v>
      </c>
      <c r="AQ441">
        <v>94</v>
      </c>
      <c r="AR441">
        <v>-512</v>
      </c>
      <c r="AZ441">
        <v>300</v>
      </c>
      <c r="BA441">
        <v>1</v>
      </c>
      <c r="BB441" t="str">
        <f t="shared" si="20"/>
        <v xml:space="preserve">N162AM  </v>
      </c>
      <c r="BC441">
        <v>1</v>
      </c>
      <c r="BE441">
        <v>0</v>
      </c>
      <c r="BF441">
        <v>0</v>
      </c>
      <c r="BG441">
        <v>0</v>
      </c>
      <c r="BH441">
        <v>1900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>"14:44:27.651"</f>
        <v>14:44:27.651</v>
      </c>
      <c r="CJ441">
        <v>3</v>
      </c>
      <c r="CK441">
        <v>2</v>
      </c>
      <c r="CL441">
        <v>0</v>
      </c>
      <c r="CM441">
        <v>2</v>
      </c>
      <c r="CN441">
        <v>0</v>
      </c>
      <c r="CO441">
        <v>5</v>
      </c>
      <c r="CP441" t="s">
        <v>119</v>
      </c>
      <c r="CQ441">
        <v>232</v>
      </c>
      <c r="CR441">
        <v>1</v>
      </c>
      <c r="CW441">
        <v>14989651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1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"12/16/2021 14:44:28.998"</f>
        <v>12/16/2021 14:44:28.998</v>
      </c>
      <c r="C442" t="str">
        <f t="shared" si="19"/>
        <v>FFDFD3C0</v>
      </c>
      <c r="D442" t="s">
        <v>124</v>
      </c>
      <c r="E442">
        <v>5</v>
      </c>
      <c r="F442">
        <v>1005</v>
      </c>
      <c r="G442" t="s">
        <v>114</v>
      </c>
      <c r="J442" t="s">
        <v>125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"14:44:28.805"</f>
        <v>14:44:28.805</v>
      </c>
      <c r="T442" t="str">
        <f>"14:44:28.305"</f>
        <v>14:44:28.305</v>
      </c>
      <c r="U442" t="str">
        <f t="shared" si="18"/>
        <v>A0F928</v>
      </c>
      <c r="V442">
        <v>0</v>
      </c>
      <c r="W442">
        <v>0</v>
      </c>
      <c r="X442">
        <v>2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1</v>
      </c>
      <c r="AI442" t="s">
        <v>344</v>
      </c>
      <c r="AJ442">
        <v>35.804400000000001</v>
      </c>
      <c r="AK442" t="s">
        <v>345</v>
      </c>
      <c r="AL442">
        <v>-83.960093999999998</v>
      </c>
      <c r="AM442">
        <v>25</v>
      </c>
      <c r="AN442">
        <v>1625</v>
      </c>
      <c r="AO442" t="s">
        <v>118</v>
      </c>
      <c r="AP442">
        <v>91</v>
      </c>
      <c r="AQ442">
        <v>94</v>
      </c>
      <c r="AR442">
        <v>-576</v>
      </c>
      <c r="AZ442">
        <v>300</v>
      </c>
      <c r="BA442">
        <v>1</v>
      </c>
      <c r="BB442" t="str">
        <f t="shared" si="20"/>
        <v xml:space="preserve">N162AM  </v>
      </c>
      <c r="BC442">
        <v>1</v>
      </c>
      <c r="BE442">
        <v>0</v>
      </c>
      <c r="BF442">
        <v>0</v>
      </c>
      <c r="BG442">
        <v>0</v>
      </c>
      <c r="BH442">
        <v>1900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>"14:44:28.806"</f>
        <v>14:44:28.806</v>
      </c>
      <c r="CJ442">
        <v>3</v>
      </c>
      <c r="CK442">
        <v>2</v>
      </c>
      <c r="CL442">
        <v>0</v>
      </c>
      <c r="CM442">
        <v>2</v>
      </c>
      <c r="CN442">
        <v>0</v>
      </c>
      <c r="CO442">
        <v>5</v>
      </c>
      <c r="CP442" t="s">
        <v>119</v>
      </c>
      <c r="CQ442">
        <v>232</v>
      </c>
      <c r="CR442">
        <v>2</v>
      </c>
      <c r="CW442">
        <v>6188122</v>
      </c>
      <c r="CY442">
        <v>1</v>
      </c>
      <c r="CZ442">
        <v>0</v>
      </c>
      <c r="DA442">
        <v>0</v>
      </c>
      <c r="DB442">
        <v>0</v>
      </c>
      <c r="DC442">
        <v>0</v>
      </c>
      <c r="DD442">
        <v>1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"12/16/2021 14:44:29.045"</f>
        <v>12/16/2021 14:44:29.045</v>
      </c>
      <c r="C443" t="str">
        <f t="shared" si="19"/>
        <v>FFDFD3C0</v>
      </c>
      <c r="D443" t="s">
        <v>113</v>
      </c>
      <c r="E443">
        <v>8</v>
      </c>
      <c r="H443">
        <v>176</v>
      </c>
      <c r="I443" t="s">
        <v>114</v>
      </c>
      <c r="J443" t="s">
        <v>115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"14:44:28.805"</f>
        <v>14:44:28.805</v>
      </c>
      <c r="T443" t="str">
        <f>"14:44:28.305"</f>
        <v>14:44:28.305</v>
      </c>
      <c r="U443" t="str">
        <f t="shared" si="18"/>
        <v>A0F928</v>
      </c>
      <c r="V443">
        <v>0</v>
      </c>
      <c r="W443">
        <v>0</v>
      </c>
      <c r="X443">
        <v>2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1</v>
      </c>
      <c r="AI443" t="s">
        <v>344</v>
      </c>
      <c r="AJ443">
        <v>35.804400000000001</v>
      </c>
      <c r="AK443" t="s">
        <v>345</v>
      </c>
      <c r="AL443">
        <v>-83.960093999999998</v>
      </c>
      <c r="AM443">
        <v>25</v>
      </c>
      <c r="AN443">
        <v>1625</v>
      </c>
      <c r="AO443" t="s">
        <v>118</v>
      </c>
      <c r="AP443">
        <v>91</v>
      </c>
      <c r="AQ443">
        <v>94</v>
      </c>
      <c r="AR443">
        <v>-576</v>
      </c>
      <c r="AZ443">
        <v>300</v>
      </c>
      <c r="BA443">
        <v>1</v>
      </c>
      <c r="BB443" t="str">
        <f t="shared" si="20"/>
        <v xml:space="preserve">N162AM  </v>
      </c>
      <c r="BC443">
        <v>1</v>
      </c>
      <c r="BE443">
        <v>0</v>
      </c>
      <c r="BF443">
        <v>0</v>
      </c>
      <c r="BG443">
        <v>0</v>
      </c>
      <c r="BH443">
        <v>1900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>"14:44:28.806"</f>
        <v>14:44:28.806</v>
      </c>
      <c r="CJ443">
        <v>3</v>
      </c>
      <c r="CK443">
        <v>2</v>
      </c>
      <c r="CL443">
        <v>0</v>
      </c>
      <c r="CM443">
        <v>2</v>
      </c>
      <c r="CN443">
        <v>0</v>
      </c>
      <c r="CO443">
        <v>5</v>
      </c>
      <c r="CP443" t="s">
        <v>119</v>
      </c>
      <c r="CQ443">
        <v>232</v>
      </c>
      <c r="CR443">
        <v>2</v>
      </c>
      <c r="CW443">
        <v>6188122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1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"12/16/2021 14:44:29.045"</f>
        <v>12/16/2021 14:44:29.045</v>
      </c>
      <c r="C444" t="str">
        <f t="shared" si="19"/>
        <v>FFDFD3C0</v>
      </c>
      <c r="D444" t="s">
        <v>124</v>
      </c>
      <c r="E444">
        <v>10</v>
      </c>
      <c r="F444">
        <v>1010</v>
      </c>
      <c r="G444" t="s">
        <v>130</v>
      </c>
      <c r="J444" t="s">
        <v>125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"14:44:28.805"</f>
        <v>14:44:28.805</v>
      </c>
      <c r="T444" t="str">
        <f>"14:44:28.305"</f>
        <v>14:44:28.305</v>
      </c>
      <c r="U444" t="str">
        <f t="shared" si="18"/>
        <v>A0F928</v>
      </c>
      <c r="V444">
        <v>0</v>
      </c>
      <c r="W444">
        <v>0</v>
      </c>
      <c r="X444">
        <v>2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0</v>
      </c>
      <c r="AG444">
        <v>2</v>
      </c>
      <c r="AH444">
        <v>1</v>
      </c>
      <c r="AI444" t="s">
        <v>344</v>
      </c>
      <c r="AJ444">
        <v>35.804400000000001</v>
      </c>
      <c r="AK444" t="s">
        <v>345</v>
      </c>
      <c r="AL444">
        <v>-83.960093999999998</v>
      </c>
      <c r="AM444">
        <v>25</v>
      </c>
      <c r="AN444">
        <v>1625</v>
      </c>
      <c r="AO444" t="s">
        <v>118</v>
      </c>
      <c r="AP444">
        <v>91</v>
      </c>
      <c r="AQ444">
        <v>94</v>
      </c>
      <c r="AR444">
        <v>-576</v>
      </c>
      <c r="AZ444">
        <v>300</v>
      </c>
      <c r="BA444">
        <v>1</v>
      </c>
      <c r="BB444" t="str">
        <f t="shared" si="20"/>
        <v xml:space="preserve">N162AM  </v>
      </c>
      <c r="BC444">
        <v>1</v>
      </c>
      <c r="BE444">
        <v>0</v>
      </c>
      <c r="BF444">
        <v>0</v>
      </c>
      <c r="BG444">
        <v>0</v>
      </c>
      <c r="BH444">
        <v>1900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>"14:44:28.806"</f>
        <v>14:44:28.806</v>
      </c>
      <c r="CJ444">
        <v>2</v>
      </c>
      <c r="CK444">
        <v>2</v>
      </c>
      <c r="CL444">
        <v>0</v>
      </c>
      <c r="CM444">
        <v>2</v>
      </c>
      <c r="CN444">
        <v>0</v>
      </c>
      <c r="CO444">
        <v>5</v>
      </c>
      <c r="CP444" t="s">
        <v>119</v>
      </c>
      <c r="CQ444">
        <v>232</v>
      </c>
      <c r="CR444">
        <v>2</v>
      </c>
      <c r="CW444">
        <v>6188122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1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"12/16/2021 14:44:29.045"</f>
        <v>12/16/2021 14:44:29.045</v>
      </c>
      <c r="C445" t="str">
        <f t="shared" si="19"/>
        <v>FFDFD3C0</v>
      </c>
      <c r="D445" t="s">
        <v>133</v>
      </c>
      <c r="E445">
        <v>44</v>
      </c>
      <c r="H445">
        <v>131</v>
      </c>
      <c r="I445" t="s">
        <v>134</v>
      </c>
      <c r="J445" t="s">
        <v>135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"14:44:28.805"</f>
        <v>14:44:28.805</v>
      </c>
      <c r="T445" t="str">
        <f>"14:44:28.305"</f>
        <v>14:44:28.305</v>
      </c>
      <c r="U445" t="str">
        <f t="shared" si="18"/>
        <v>A0F928</v>
      </c>
      <c r="V445">
        <v>0</v>
      </c>
      <c r="W445">
        <v>0</v>
      </c>
      <c r="X445">
        <v>2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1</v>
      </c>
      <c r="AI445" t="s">
        <v>344</v>
      </c>
      <c r="AJ445">
        <v>35.804400000000001</v>
      </c>
      <c r="AK445" t="s">
        <v>345</v>
      </c>
      <c r="AL445">
        <v>-83.960093999999998</v>
      </c>
      <c r="AM445">
        <v>25</v>
      </c>
      <c r="AN445">
        <v>1625</v>
      </c>
      <c r="AO445" t="s">
        <v>118</v>
      </c>
      <c r="AP445">
        <v>91</v>
      </c>
      <c r="AQ445">
        <v>94</v>
      </c>
      <c r="AR445">
        <v>-576</v>
      </c>
      <c r="AZ445">
        <v>300</v>
      </c>
      <c r="BA445">
        <v>1</v>
      </c>
      <c r="BB445" t="str">
        <f t="shared" si="20"/>
        <v xml:space="preserve">N162AM  </v>
      </c>
      <c r="BC445">
        <v>1</v>
      </c>
      <c r="BE445">
        <v>0</v>
      </c>
      <c r="BF445">
        <v>0</v>
      </c>
      <c r="BG445">
        <v>0</v>
      </c>
      <c r="BH445">
        <v>1900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>"14:44:28.806"</f>
        <v>14:44:28.806</v>
      </c>
      <c r="CJ445">
        <v>3</v>
      </c>
      <c r="CK445">
        <v>2</v>
      </c>
      <c r="CL445">
        <v>0</v>
      </c>
      <c r="CM445">
        <v>2</v>
      </c>
      <c r="CN445">
        <v>0</v>
      </c>
      <c r="CO445">
        <v>5</v>
      </c>
      <c r="CP445" t="s">
        <v>119</v>
      </c>
      <c r="CQ445">
        <v>232</v>
      </c>
      <c r="CR445">
        <v>2</v>
      </c>
      <c r="CW445">
        <v>6188122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1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"12/16/2021 14:44:29.896"</f>
        <v>12/16/2021 14:44:29.896</v>
      </c>
      <c r="C446" t="str">
        <f t="shared" si="19"/>
        <v>FFDFD3C0</v>
      </c>
      <c r="D446" t="s">
        <v>133</v>
      </c>
      <c r="E446">
        <v>44</v>
      </c>
      <c r="H446">
        <v>131</v>
      </c>
      <c r="I446" t="s">
        <v>134</v>
      </c>
      <c r="J446" t="s">
        <v>135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"14:44:29.688"</f>
        <v>14:44:29.688</v>
      </c>
      <c r="T446" t="str">
        <f>"14:44:29.288"</f>
        <v>14:44:29.288</v>
      </c>
      <c r="U446" t="str">
        <f t="shared" si="18"/>
        <v>A0F928</v>
      </c>
      <c r="V446">
        <v>0</v>
      </c>
      <c r="W446">
        <v>0</v>
      </c>
      <c r="X446">
        <v>2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1</v>
      </c>
      <c r="AI446" t="s">
        <v>346</v>
      </c>
      <c r="AJ446">
        <v>35.804765000000003</v>
      </c>
      <c r="AK446" t="s">
        <v>347</v>
      </c>
      <c r="AL446">
        <v>-83.959621999999996</v>
      </c>
      <c r="AM446">
        <v>25</v>
      </c>
      <c r="AN446">
        <v>1625</v>
      </c>
      <c r="AO446" t="s">
        <v>118</v>
      </c>
      <c r="AP446">
        <v>91</v>
      </c>
      <c r="AQ446">
        <v>93</v>
      </c>
      <c r="AR446">
        <v>-576</v>
      </c>
      <c r="AZ446">
        <v>300</v>
      </c>
      <c r="BA446">
        <v>1</v>
      </c>
      <c r="BB446" t="str">
        <f t="shared" si="20"/>
        <v xml:space="preserve">N162AM  </v>
      </c>
      <c r="BC446">
        <v>1</v>
      </c>
      <c r="BE446">
        <v>0</v>
      </c>
      <c r="BF446">
        <v>0</v>
      </c>
      <c r="BG446">
        <v>0</v>
      </c>
      <c r="BH446">
        <v>1900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>"14:44:29.692"</f>
        <v>14:44:29.692</v>
      </c>
      <c r="CJ446">
        <v>3</v>
      </c>
      <c r="CK446">
        <v>2</v>
      </c>
      <c r="CL446">
        <v>0</v>
      </c>
      <c r="CM446">
        <v>2</v>
      </c>
      <c r="CN446">
        <v>0</v>
      </c>
      <c r="CO446">
        <v>5</v>
      </c>
      <c r="CP446" t="s">
        <v>119</v>
      </c>
      <c r="CQ446">
        <v>232</v>
      </c>
      <c r="CR446">
        <v>2</v>
      </c>
      <c r="CW446">
        <v>6189513</v>
      </c>
      <c r="CY446">
        <v>1</v>
      </c>
      <c r="CZ446">
        <v>0</v>
      </c>
      <c r="DA446">
        <v>0</v>
      </c>
      <c r="DB446">
        <v>0</v>
      </c>
      <c r="DC446">
        <v>0</v>
      </c>
      <c r="DD446">
        <v>1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"12/16/2021 14:44:29.912"</f>
        <v>12/16/2021 14:44:29.912</v>
      </c>
      <c r="C447" t="str">
        <f t="shared" si="19"/>
        <v>FFDFD3C0</v>
      </c>
      <c r="D447" t="s">
        <v>124</v>
      </c>
      <c r="E447">
        <v>5</v>
      </c>
      <c r="F447">
        <v>1005</v>
      </c>
      <c r="G447" t="s">
        <v>114</v>
      </c>
      <c r="J447" t="s">
        <v>125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"14:44:29.688"</f>
        <v>14:44:29.688</v>
      </c>
      <c r="T447" t="str">
        <f>"14:44:29.288"</f>
        <v>14:44:29.288</v>
      </c>
      <c r="U447" t="str">
        <f t="shared" si="18"/>
        <v>A0F928</v>
      </c>
      <c r="V447">
        <v>0</v>
      </c>
      <c r="W447">
        <v>0</v>
      </c>
      <c r="X447">
        <v>2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1</v>
      </c>
      <c r="AI447" t="s">
        <v>346</v>
      </c>
      <c r="AJ447">
        <v>35.804765000000003</v>
      </c>
      <c r="AK447" t="s">
        <v>347</v>
      </c>
      <c r="AL447">
        <v>-83.959621999999996</v>
      </c>
      <c r="AM447">
        <v>25</v>
      </c>
      <c r="AN447">
        <v>1625</v>
      </c>
      <c r="AO447" t="s">
        <v>118</v>
      </c>
      <c r="AP447">
        <v>91</v>
      </c>
      <c r="AQ447">
        <v>93</v>
      </c>
      <c r="AR447">
        <v>-576</v>
      </c>
      <c r="AZ447">
        <v>300</v>
      </c>
      <c r="BA447">
        <v>1</v>
      </c>
      <c r="BB447" t="str">
        <f t="shared" si="20"/>
        <v xml:space="preserve">N162AM  </v>
      </c>
      <c r="BC447">
        <v>1</v>
      </c>
      <c r="BE447">
        <v>0</v>
      </c>
      <c r="BF447">
        <v>0</v>
      </c>
      <c r="BG447">
        <v>0</v>
      </c>
      <c r="BH447">
        <v>1900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>"14:44:29.692"</f>
        <v>14:44:29.692</v>
      </c>
      <c r="CJ447">
        <v>3</v>
      </c>
      <c r="CK447">
        <v>2</v>
      </c>
      <c r="CL447">
        <v>0</v>
      </c>
      <c r="CM447">
        <v>2</v>
      </c>
      <c r="CN447">
        <v>0</v>
      </c>
      <c r="CO447">
        <v>5</v>
      </c>
      <c r="CP447" t="s">
        <v>119</v>
      </c>
      <c r="CQ447">
        <v>232</v>
      </c>
      <c r="CR447">
        <v>2</v>
      </c>
      <c r="CW447">
        <v>6189513</v>
      </c>
      <c r="CY447">
        <v>1</v>
      </c>
      <c r="CZ447">
        <v>0</v>
      </c>
      <c r="DA447">
        <v>1</v>
      </c>
      <c r="DB447">
        <v>0</v>
      </c>
      <c r="DC447">
        <v>0</v>
      </c>
      <c r="DD447">
        <v>1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"12/16/2021 14:44:29.927"</f>
        <v>12/16/2021 14:44:29.927</v>
      </c>
      <c r="C448" t="str">
        <f t="shared" si="19"/>
        <v>FFDFD3C0</v>
      </c>
      <c r="D448" t="s">
        <v>124</v>
      </c>
      <c r="E448">
        <v>10</v>
      </c>
      <c r="F448">
        <v>1010</v>
      </c>
      <c r="G448" t="s">
        <v>130</v>
      </c>
      <c r="J448" t="s">
        <v>125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"14:44:29.688"</f>
        <v>14:44:29.688</v>
      </c>
      <c r="T448" t="str">
        <f>"14:44:29.288"</f>
        <v>14:44:29.288</v>
      </c>
      <c r="U448" t="str">
        <f t="shared" si="18"/>
        <v>A0F928</v>
      </c>
      <c r="V448">
        <v>0</v>
      </c>
      <c r="W448">
        <v>0</v>
      </c>
      <c r="X448">
        <v>2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0</v>
      </c>
      <c r="AG448">
        <v>2</v>
      </c>
      <c r="AH448">
        <v>1</v>
      </c>
      <c r="AI448" t="s">
        <v>346</v>
      </c>
      <c r="AJ448">
        <v>35.804765000000003</v>
      </c>
      <c r="AK448" t="s">
        <v>347</v>
      </c>
      <c r="AL448">
        <v>-83.959621999999996</v>
      </c>
      <c r="AM448">
        <v>25</v>
      </c>
      <c r="AN448">
        <v>1625</v>
      </c>
      <c r="AO448" t="s">
        <v>118</v>
      </c>
      <c r="AP448">
        <v>91</v>
      </c>
      <c r="AQ448">
        <v>93</v>
      </c>
      <c r="AR448">
        <v>-576</v>
      </c>
      <c r="AZ448">
        <v>300</v>
      </c>
      <c r="BA448">
        <v>1</v>
      </c>
      <c r="BB448" t="str">
        <f t="shared" si="20"/>
        <v xml:space="preserve">N162AM  </v>
      </c>
      <c r="BC448">
        <v>1</v>
      </c>
      <c r="BE448">
        <v>0</v>
      </c>
      <c r="BF448">
        <v>0</v>
      </c>
      <c r="BG448">
        <v>0</v>
      </c>
      <c r="BH448">
        <v>1900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>"14:44:29.692"</f>
        <v>14:44:29.692</v>
      </c>
      <c r="CJ448">
        <v>2</v>
      </c>
      <c r="CK448">
        <v>2</v>
      </c>
      <c r="CL448">
        <v>0</v>
      </c>
      <c r="CM448">
        <v>2</v>
      </c>
      <c r="CN448">
        <v>0</v>
      </c>
      <c r="CO448">
        <v>5</v>
      </c>
      <c r="CP448" t="s">
        <v>119</v>
      </c>
      <c r="CQ448">
        <v>232</v>
      </c>
      <c r="CR448">
        <v>2</v>
      </c>
      <c r="CW448">
        <v>6189513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1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"12/16/2021 14:44:29.958"</f>
        <v>12/16/2021 14:44:29.958</v>
      </c>
      <c r="C449" t="str">
        <f t="shared" si="19"/>
        <v>FFDFD3C0</v>
      </c>
      <c r="D449" t="s">
        <v>113</v>
      </c>
      <c r="E449">
        <v>8</v>
      </c>
      <c r="H449">
        <v>176</v>
      </c>
      <c r="I449" t="s">
        <v>114</v>
      </c>
      <c r="J449" t="s">
        <v>115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"14:44:29.688"</f>
        <v>14:44:29.688</v>
      </c>
      <c r="T449" t="str">
        <f>"14:44:29.288"</f>
        <v>14:44:29.288</v>
      </c>
      <c r="U449" t="str">
        <f t="shared" si="18"/>
        <v>A0F928</v>
      </c>
      <c r="V449">
        <v>0</v>
      </c>
      <c r="W449">
        <v>0</v>
      </c>
      <c r="X449">
        <v>2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1</v>
      </c>
      <c r="AI449" t="s">
        <v>346</v>
      </c>
      <c r="AJ449">
        <v>35.804765000000003</v>
      </c>
      <c r="AK449" t="s">
        <v>347</v>
      </c>
      <c r="AL449">
        <v>-83.959621999999996</v>
      </c>
      <c r="AM449">
        <v>25</v>
      </c>
      <c r="AN449">
        <v>1625</v>
      </c>
      <c r="AO449" t="s">
        <v>118</v>
      </c>
      <c r="AP449">
        <v>91</v>
      </c>
      <c r="AQ449">
        <v>93</v>
      </c>
      <c r="AR449">
        <v>-576</v>
      </c>
      <c r="AZ449">
        <v>300</v>
      </c>
      <c r="BA449">
        <v>1</v>
      </c>
      <c r="BB449" t="str">
        <f t="shared" si="20"/>
        <v xml:space="preserve">N162AM  </v>
      </c>
      <c r="BC449">
        <v>1</v>
      </c>
      <c r="BE449">
        <v>0</v>
      </c>
      <c r="BF449">
        <v>0</v>
      </c>
      <c r="BG449">
        <v>0</v>
      </c>
      <c r="BH449">
        <v>1900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>"14:44:29.692"</f>
        <v>14:44:29.692</v>
      </c>
      <c r="CJ449">
        <v>3</v>
      </c>
      <c r="CK449">
        <v>2</v>
      </c>
      <c r="CL449">
        <v>0</v>
      </c>
      <c r="CM449">
        <v>2</v>
      </c>
      <c r="CN449">
        <v>0</v>
      </c>
      <c r="CO449">
        <v>5</v>
      </c>
      <c r="CP449" t="s">
        <v>119</v>
      </c>
      <c r="CQ449">
        <v>232</v>
      </c>
      <c r="CR449">
        <v>2</v>
      </c>
      <c r="CW449">
        <v>6189513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1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"12/16/2021 14:44:31.021"</f>
        <v>12/16/2021 14:44:31.021</v>
      </c>
      <c r="C450" t="str">
        <f t="shared" si="19"/>
        <v>FFDFD3C0</v>
      </c>
      <c r="D450" t="s">
        <v>124</v>
      </c>
      <c r="E450">
        <v>5</v>
      </c>
      <c r="F450">
        <v>1005</v>
      </c>
      <c r="G450" t="s">
        <v>114</v>
      </c>
      <c r="J450" t="s">
        <v>125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"14:44:30.813"</f>
        <v>14:44:30.813</v>
      </c>
      <c r="T450" t="str">
        <f>"14:44:30.313"</f>
        <v>14:44:30.313</v>
      </c>
      <c r="U450" t="str">
        <f t="shared" ref="U450:U513" si="21">"A0F928"</f>
        <v>A0F928</v>
      </c>
      <c r="V450">
        <v>0</v>
      </c>
      <c r="W450">
        <v>0</v>
      </c>
      <c r="X450">
        <v>2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1</v>
      </c>
      <c r="AI450" t="s">
        <v>348</v>
      </c>
      <c r="AJ450">
        <v>35.805216000000001</v>
      </c>
      <c r="AK450" t="s">
        <v>349</v>
      </c>
      <c r="AL450">
        <v>-83.959063999999998</v>
      </c>
      <c r="AM450">
        <v>25</v>
      </c>
      <c r="AN450">
        <v>1625</v>
      </c>
      <c r="AO450" t="s">
        <v>118</v>
      </c>
      <c r="AP450">
        <v>92</v>
      </c>
      <c r="AQ450">
        <v>93</v>
      </c>
      <c r="AR450">
        <v>-512</v>
      </c>
      <c r="AZ450">
        <v>300</v>
      </c>
      <c r="BA450">
        <v>1</v>
      </c>
      <c r="BB450" t="str">
        <f t="shared" si="20"/>
        <v xml:space="preserve">N162AM  </v>
      </c>
      <c r="BC450">
        <v>1</v>
      </c>
      <c r="BE450">
        <v>0</v>
      </c>
      <c r="BF450">
        <v>0</v>
      </c>
      <c r="BG450">
        <v>0</v>
      </c>
      <c r="BH450">
        <v>1875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>"14:44:30.813"</f>
        <v>14:44:30.813</v>
      </c>
      <c r="CJ450">
        <v>3</v>
      </c>
      <c r="CK450">
        <v>2</v>
      </c>
      <c r="CL450">
        <v>0</v>
      </c>
      <c r="CM450">
        <v>2</v>
      </c>
      <c r="CN450">
        <v>0</v>
      </c>
      <c r="CO450">
        <v>6</v>
      </c>
      <c r="CP450" t="s">
        <v>119</v>
      </c>
      <c r="CQ450">
        <v>232</v>
      </c>
      <c r="CR450">
        <v>1</v>
      </c>
      <c r="CW450">
        <v>14994446</v>
      </c>
      <c r="CY450">
        <v>1</v>
      </c>
      <c r="CZ450">
        <v>0</v>
      </c>
      <c r="DA450">
        <v>0</v>
      </c>
      <c r="DB450">
        <v>0</v>
      </c>
      <c r="DC450">
        <v>0</v>
      </c>
      <c r="DD450">
        <v>1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"12/16/2021 14:44:31.052"</f>
        <v>12/16/2021 14:44:31.052</v>
      </c>
      <c r="C451" t="str">
        <f t="shared" si="19"/>
        <v>FFDFD3C0</v>
      </c>
      <c r="D451" t="s">
        <v>124</v>
      </c>
      <c r="E451">
        <v>10</v>
      </c>
      <c r="F451">
        <v>1010</v>
      </c>
      <c r="G451" t="s">
        <v>130</v>
      </c>
      <c r="J451" t="s">
        <v>125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"14:44:30.813"</f>
        <v>14:44:30.813</v>
      </c>
      <c r="T451" t="str">
        <f>"14:44:30.313"</f>
        <v>14:44:30.313</v>
      </c>
      <c r="U451" t="str">
        <f t="shared" si="21"/>
        <v>A0F928</v>
      </c>
      <c r="V451">
        <v>0</v>
      </c>
      <c r="W451">
        <v>0</v>
      </c>
      <c r="X451">
        <v>2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0</v>
      </c>
      <c r="AG451">
        <v>2</v>
      </c>
      <c r="AH451">
        <v>1</v>
      </c>
      <c r="AI451" t="s">
        <v>348</v>
      </c>
      <c r="AJ451">
        <v>35.805216000000001</v>
      </c>
      <c r="AK451" t="s">
        <v>349</v>
      </c>
      <c r="AL451">
        <v>-83.959063999999998</v>
      </c>
      <c r="AM451">
        <v>25</v>
      </c>
      <c r="AN451">
        <v>1625</v>
      </c>
      <c r="AO451" t="s">
        <v>118</v>
      </c>
      <c r="AP451">
        <v>92</v>
      </c>
      <c r="AQ451">
        <v>93</v>
      </c>
      <c r="AR451">
        <v>-512</v>
      </c>
      <c r="AZ451">
        <v>300</v>
      </c>
      <c r="BA451">
        <v>1</v>
      </c>
      <c r="BB451" t="str">
        <f t="shared" si="20"/>
        <v xml:space="preserve">N162AM  </v>
      </c>
      <c r="BC451">
        <v>1</v>
      </c>
      <c r="BE451">
        <v>0</v>
      </c>
      <c r="BF451">
        <v>0</v>
      </c>
      <c r="BG451">
        <v>0</v>
      </c>
      <c r="BH451">
        <v>1875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>"14:44:30.813"</f>
        <v>14:44:30.813</v>
      </c>
      <c r="CJ451">
        <v>2</v>
      </c>
      <c r="CK451">
        <v>2</v>
      </c>
      <c r="CL451">
        <v>0</v>
      </c>
      <c r="CM451">
        <v>2</v>
      </c>
      <c r="CN451">
        <v>0</v>
      </c>
      <c r="CO451">
        <v>6</v>
      </c>
      <c r="CP451" t="s">
        <v>119</v>
      </c>
      <c r="CQ451">
        <v>232</v>
      </c>
      <c r="CR451">
        <v>1</v>
      </c>
      <c r="CW451">
        <v>14994446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1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"12/16/2021 14:44:31.068"</f>
        <v>12/16/2021 14:44:31.068</v>
      </c>
      <c r="C452" t="str">
        <f t="shared" si="19"/>
        <v>FFDFD3C0</v>
      </c>
      <c r="D452" t="s">
        <v>113</v>
      </c>
      <c r="E452">
        <v>8</v>
      </c>
      <c r="H452">
        <v>176</v>
      </c>
      <c r="I452" t="s">
        <v>114</v>
      </c>
      <c r="J452" t="s">
        <v>115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"14:44:30.813"</f>
        <v>14:44:30.813</v>
      </c>
      <c r="T452" t="str">
        <f>"14:44:30.313"</f>
        <v>14:44:30.313</v>
      </c>
      <c r="U452" t="str">
        <f t="shared" si="21"/>
        <v>A0F928</v>
      </c>
      <c r="V452">
        <v>0</v>
      </c>
      <c r="W452">
        <v>0</v>
      </c>
      <c r="X452">
        <v>2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1</v>
      </c>
      <c r="AI452" t="s">
        <v>348</v>
      </c>
      <c r="AJ452">
        <v>35.805216000000001</v>
      </c>
      <c r="AK452" t="s">
        <v>349</v>
      </c>
      <c r="AL452">
        <v>-83.959063999999998</v>
      </c>
      <c r="AM452">
        <v>25</v>
      </c>
      <c r="AN452">
        <v>1625</v>
      </c>
      <c r="AO452" t="s">
        <v>118</v>
      </c>
      <c r="AP452">
        <v>92</v>
      </c>
      <c r="AQ452">
        <v>93</v>
      </c>
      <c r="AR452">
        <v>-512</v>
      </c>
      <c r="AZ452">
        <v>300</v>
      </c>
      <c r="BA452">
        <v>1</v>
      </c>
      <c r="BB452" t="str">
        <f t="shared" si="20"/>
        <v xml:space="preserve">N162AM  </v>
      </c>
      <c r="BC452">
        <v>1</v>
      </c>
      <c r="BE452">
        <v>0</v>
      </c>
      <c r="BF452">
        <v>0</v>
      </c>
      <c r="BG452">
        <v>0</v>
      </c>
      <c r="BH452">
        <v>1875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>"14:44:30.813"</f>
        <v>14:44:30.813</v>
      </c>
      <c r="CJ452">
        <v>3</v>
      </c>
      <c r="CK452">
        <v>2</v>
      </c>
      <c r="CL452">
        <v>0</v>
      </c>
      <c r="CM452">
        <v>2</v>
      </c>
      <c r="CN452">
        <v>0</v>
      </c>
      <c r="CO452">
        <v>6</v>
      </c>
      <c r="CP452" t="s">
        <v>119</v>
      </c>
      <c r="CQ452">
        <v>232</v>
      </c>
      <c r="CR452">
        <v>1</v>
      </c>
      <c r="CW452">
        <v>14994446</v>
      </c>
      <c r="CY452">
        <v>1</v>
      </c>
      <c r="CZ452">
        <v>0</v>
      </c>
      <c r="DA452">
        <v>1</v>
      </c>
      <c r="DB452">
        <v>0</v>
      </c>
      <c r="DC452">
        <v>0</v>
      </c>
      <c r="DD452">
        <v>1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"12/16/2021 14:44:31.084"</f>
        <v>12/16/2021 14:44:31.084</v>
      </c>
      <c r="C453" t="str">
        <f t="shared" si="19"/>
        <v>FFDFD3C0</v>
      </c>
      <c r="D453" t="s">
        <v>133</v>
      </c>
      <c r="E453">
        <v>44</v>
      </c>
      <c r="H453">
        <v>131</v>
      </c>
      <c r="I453" t="s">
        <v>134</v>
      </c>
      <c r="J453" t="s">
        <v>135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"14:44:30.813"</f>
        <v>14:44:30.813</v>
      </c>
      <c r="T453" t="str">
        <f>"14:44:30.313"</f>
        <v>14:44:30.313</v>
      </c>
      <c r="U453" t="str">
        <f t="shared" si="21"/>
        <v>A0F928</v>
      </c>
      <c r="V453">
        <v>0</v>
      </c>
      <c r="W453">
        <v>0</v>
      </c>
      <c r="X453">
        <v>2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1</v>
      </c>
      <c r="AI453" t="s">
        <v>348</v>
      </c>
      <c r="AJ453">
        <v>35.805216000000001</v>
      </c>
      <c r="AK453" t="s">
        <v>349</v>
      </c>
      <c r="AL453">
        <v>-83.959063999999998</v>
      </c>
      <c r="AM453">
        <v>25</v>
      </c>
      <c r="AN453">
        <v>1625</v>
      </c>
      <c r="AO453" t="s">
        <v>118</v>
      </c>
      <c r="AP453">
        <v>92</v>
      </c>
      <c r="AQ453">
        <v>93</v>
      </c>
      <c r="AR453">
        <v>-512</v>
      </c>
      <c r="AZ453">
        <v>300</v>
      </c>
      <c r="BA453">
        <v>1</v>
      </c>
      <c r="BB453" t="str">
        <f t="shared" si="20"/>
        <v xml:space="preserve">N162AM  </v>
      </c>
      <c r="BC453">
        <v>1</v>
      </c>
      <c r="BE453">
        <v>0</v>
      </c>
      <c r="BF453">
        <v>0</v>
      </c>
      <c r="BG453">
        <v>0</v>
      </c>
      <c r="BH453">
        <v>1875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>"14:44:30.813"</f>
        <v>14:44:30.813</v>
      </c>
      <c r="CJ453">
        <v>3</v>
      </c>
      <c r="CK453">
        <v>2</v>
      </c>
      <c r="CL453">
        <v>0</v>
      </c>
      <c r="CM453">
        <v>2</v>
      </c>
      <c r="CN453">
        <v>0</v>
      </c>
      <c r="CO453">
        <v>6</v>
      </c>
      <c r="CP453" t="s">
        <v>119</v>
      </c>
      <c r="CQ453">
        <v>232</v>
      </c>
      <c r="CR453">
        <v>1</v>
      </c>
      <c r="CW453">
        <v>14994446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1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"12/16/2021 14:44:31.912"</f>
        <v>12/16/2021 14:44:31.912</v>
      </c>
      <c r="C454" t="str">
        <f t="shared" si="19"/>
        <v>FFDFD3C0</v>
      </c>
      <c r="D454" t="s">
        <v>133</v>
      </c>
      <c r="E454">
        <v>44</v>
      </c>
      <c r="H454">
        <v>131</v>
      </c>
      <c r="I454" t="s">
        <v>134</v>
      </c>
      <c r="J454" t="s">
        <v>135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"14:44:31.719"</f>
        <v>14:44:31.719</v>
      </c>
      <c r="T454" t="str">
        <f>"14:44:31.319"</f>
        <v>14:44:31.319</v>
      </c>
      <c r="U454" t="str">
        <f t="shared" si="21"/>
        <v>A0F928</v>
      </c>
      <c r="V454">
        <v>0</v>
      </c>
      <c r="W454">
        <v>0</v>
      </c>
      <c r="X454">
        <v>2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1</v>
      </c>
      <c r="AI454" t="s">
        <v>350</v>
      </c>
      <c r="AJ454">
        <v>35.805602</v>
      </c>
      <c r="AK454" t="s">
        <v>351</v>
      </c>
      <c r="AL454">
        <v>-83.958571000000006</v>
      </c>
      <c r="AM454">
        <v>25</v>
      </c>
      <c r="AN454">
        <v>1600</v>
      </c>
      <c r="AO454" t="s">
        <v>118</v>
      </c>
      <c r="AP454">
        <v>92</v>
      </c>
      <c r="AQ454">
        <v>92</v>
      </c>
      <c r="AR454">
        <v>-448</v>
      </c>
      <c r="AZ454">
        <v>300</v>
      </c>
      <c r="BA454">
        <v>1</v>
      </c>
      <c r="BB454" t="str">
        <f t="shared" si="20"/>
        <v xml:space="preserve">N162AM  </v>
      </c>
      <c r="BC454">
        <v>1</v>
      </c>
      <c r="BE454">
        <v>0</v>
      </c>
      <c r="BF454">
        <v>0</v>
      </c>
      <c r="BG454">
        <v>0</v>
      </c>
      <c r="BH454">
        <v>1875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>"14:44:31.719"</f>
        <v>14:44:31.719</v>
      </c>
      <c r="CJ454">
        <v>3</v>
      </c>
      <c r="CK454">
        <v>2</v>
      </c>
      <c r="CL454">
        <v>0</v>
      </c>
      <c r="CM454">
        <v>2</v>
      </c>
      <c r="CN454">
        <v>0</v>
      </c>
      <c r="CO454">
        <v>6</v>
      </c>
      <c r="CP454" t="s">
        <v>119</v>
      </c>
      <c r="CQ454">
        <v>232</v>
      </c>
      <c r="CR454">
        <v>1</v>
      </c>
      <c r="CW454">
        <v>14995866</v>
      </c>
      <c r="CY454">
        <v>1</v>
      </c>
      <c r="CZ454">
        <v>0</v>
      </c>
      <c r="DA454">
        <v>0</v>
      </c>
      <c r="DB454">
        <v>0</v>
      </c>
      <c r="DC454">
        <v>0</v>
      </c>
      <c r="DD454">
        <v>1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"12/16/2021 14:44:31.912"</f>
        <v>12/16/2021 14:44:31.912</v>
      </c>
      <c r="C455" t="str">
        <f t="shared" si="19"/>
        <v>FFDFD3C0</v>
      </c>
      <c r="D455" t="s">
        <v>124</v>
      </c>
      <c r="E455">
        <v>5</v>
      </c>
      <c r="F455">
        <v>1005</v>
      </c>
      <c r="G455" t="s">
        <v>114</v>
      </c>
      <c r="J455" t="s">
        <v>125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"14:44:31.719"</f>
        <v>14:44:31.719</v>
      </c>
      <c r="T455" t="str">
        <f>"14:44:31.319"</f>
        <v>14:44:31.319</v>
      </c>
      <c r="U455" t="str">
        <f t="shared" si="21"/>
        <v>A0F928</v>
      </c>
      <c r="V455">
        <v>0</v>
      </c>
      <c r="W455">
        <v>0</v>
      </c>
      <c r="X455">
        <v>2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1</v>
      </c>
      <c r="AI455" t="s">
        <v>350</v>
      </c>
      <c r="AJ455">
        <v>35.805602</v>
      </c>
      <c r="AK455" t="s">
        <v>351</v>
      </c>
      <c r="AL455">
        <v>-83.958571000000006</v>
      </c>
      <c r="AM455">
        <v>25</v>
      </c>
      <c r="AN455">
        <v>1600</v>
      </c>
      <c r="AO455" t="s">
        <v>118</v>
      </c>
      <c r="AP455">
        <v>92</v>
      </c>
      <c r="AQ455">
        <v>92</v>
      </c>
      <c r="AR455">
        <v>-448</v>
      </c>
      <c r="AZ455">
        <v>300</v>
      </c>
      <c r="BA455">
        <v>1</v>
      </c>
      <c r="BB455" t="str">
        <f t="shared" si="20"/>
        <v xml:space="preserve">N162AM  </v>
      </c>
      <c r="BC455">
        <v>1</v>
      </c>
      <c r="BE455">
        <v>0</v>
      </c>
      <c r="BF455">
        <v>0</v>
      </c>
      <c r="BG455">
        <v>0</v>
      </c>
      <c r="BH455">
        <v>1875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>"14:44:31.719"</f>
        <v>14:44:31.719</v>
      </c>
      <c r="CJ455">
        <v>3</v>
      </c>
      <c r="CK455">
        <v>2</v>
      </c>
      <c r="CL455">
        <v>0</v>
      </c>
      <c r="CM455">
        <v>2</v>
      </c>
      <c r="CN455">
        <v>0</v>
      </c>
      <c r="CO455">
        <v>6</v>
      </c>
      <c r="CP455" t="s">
        <v>119</v>
      </c>
      <c r="CQ455">
        <v>232</v>
      </c>
      <c r="CR455">
        <v>1</v>
      </c>
      <c r="CW455">
        <v>14995866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1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"12/16/2021 14:44:31.974"</f>
        <v>12/16/2021 14:44:31.974</v>
      </c>
      <c r="C456" t="str">
        <f t="shared" si="19"/>
        <v>FFDFD3C0</v>
      </c>
      <c r="D456" t="s">
        <v>124</v>
      </c>
      <c r="E456">
        <v>10</v>
      </c>
      <c r="F456">
        <v>1010</v>
      </c>
      <c r="G456" t="s">
        <v>130</v>
      </c>
      <c r="J456" t="s">
        <v>125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"14:44:31.719"</f>
        <v>14:44:31.719</v>
      </c>
      <c r="T456" t="str">
        <f>"14:44:31.319"</f>
        <v>14:44:31.319</v>
      </c>
      <c r="U456" t="str">
        <f t="shared" si="21"/>
        <v>A0F928</v>
      </c>
      <c r="V456">
        <v>0</v>
      </c>
      <c r="W456">
        <v>0</v>
      </c>
      <c r="X456">
        <v>2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0</v>
      </c>
      <c r="AG456">
        <v>2</v>
      </c>
      <c r="AH456">
        <v>1</v>
      </c>
      <c r="AI456" t="s">
        <v>350</v>
      </c>
      <c r="AJ456">
        <v>35.805602</v>
      </c>
      <c r="AK456" t="s">
        <v>351</v>
      </c>
      <c r="AL456">
        <v>-83.958571000000006</v>
      </c>
      <c r="AM456">
        <v>25</v>
      </c>
      <c r="AN456">
        <v>1600</v>
      </c>
      <c r="AO456" t="s">
        <v>118</v>
      </c>
      <c r="AP456">
        <v>92</v>
      </c>
      <c r="AQ456">
        <v>92</v>
      </c>
      <c r="AR456">
        <v>-448</v>
      </c>
      <c r="AZ456">
        <v>300</v>
      </c>
      <c r="BA456">
        <v>1</v>
      </c>
      <c r="BB456" t="str">
        <f t="shared" si="20"/>
        <v xml:space="preserve">N162AM  </v>
      </c>
      <c r="BC456">
        <v>1</v>
      </c>
      <c r="BE456">
        <v>0</v>
      </c>
      <c r="BF456">
        <v>0</v>
      </c>
      <c r="BG456">
        <v>0</v>
      </c>
      <c r="BH456">
        <v>1875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>"14:44:31.719"</f>
        <v>14:44:31.719</v>
      </c>
      <c r="CJ456">
        <v>2</v>
      </c>
      <c r="CK456">
        <v>2</v>
      </c>
      <c r="CL456">
        <v>0</v>
      </c>
      <c r="CM456">
        <v>2</v>
      </c>
      <c r="CN456">
        <v>0</v>
      </c>
      <c r="CO456">
        <v>6</v>
      </c>
      <c r="CP456" t="s">
        <v>119</v>
      </c>
      <c r="CQ456">
        <v>232</v>
      </c>
      <c r="CR456">
        <v>1</v>
      </c>
      <c r="CW456">
        <v>14995866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1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"12/16/2021 14:44:31.974"</f>
        <v>12/16/2021 14:44:31.974</v>
      </c>
      <c r="C457" t="str">
        <f t="shared" si="19"/>
        <v>FFDFD3C0</v>
      </c>
      <c r="D457" t="s">
        <v>113</v>
      </c>
      <c r="E457">
        <v>8</v>
      </c>
      <c r="H457">
        <v>176</v>
      </c>
      <c r="I457" t="s">
        <v>114</v>
      </c>
      <c r="J457" t="s">
        <v>115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"14:44:31.719"</f>
        <v>14:44:31.719</v>
      </c>
      <c r="T457" t="str">
        <f>"14:44:31.319"</f>
        <v>14:44:31.319</v>
      </c>
      <c r="U457" t="str">
        <f t="shared" si="21"/>
        <v>A0F928</v>
      </c>
      <c r="V457">
        <v>0</v>
      </c>
      <c r="W457">
        <v>0</v>
      </c>
      <c r="X457">
        <v>2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1</v>
      </c>
      <c r="AI457" t="s">
        <v>350</v>
      </c>
      <c r="AJ457">
        <v>35.805602</v>
      </c>
      <c r="AK457" t="s">
        <v>351</v>
      </c>
      <c r="AL457">
        <v>-83.958571000000006</v>
      </c>
      <c r="AM457">
        <v>25</v>
      </c>
      <c r="AN457">
        <v>1600</v>
      </c>
      <c r="AO457" t="s">
        <v>118</v>
      </c>
      <c r="AP457">
        <v>92</v>
      </c>
      <c r="AQ457">
        <v>92</v>
      </c>
      <c r="AR457">
        <v>-448</v>
      </c>
      <c r="AZ457">
        <v>300</v>
      </c>
      <c r="BA457">
        <v>1</v>
      </c>
      <c r="BB457" t="str">
        <f t="shared" si="20"/>
        <v xml:space="preserve">N162AM  </v>
      </c>
      <c r="BC457">
        <v>1</v>
      </c>
      <c r="BE457">
        <v>0</v>
      </c>
      <c r="BF457">
        <v>0</v>
      </c>
      <c r="BG457">
        <v>0</v>
      </c>
      <c r="BH457">
        <v>1875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>"14:44:31.719"</f>
        <v>14:44:31.719</v>
      </c>
      <c r="CJ457">
        <v>3</v>
      </c>
      <c r="CK457">
        <v>2</v>
      </c>
      <c r="CL457">
        <v>0</v>
      </c>
      <c r="CM457">
        <v>2</v>
      </c>
      <c r="CN457">
        <v>0</v>
      </c>
      <c r="CO457">
        <v>6</v>
      </c>
      <c r="CP457" t="s">
        <v>119</v>
      </c>
      <c r="CQ457">
        <v>232</v>
      </c>
      <c r="CR457">
        <v>1</v>
      </c>
      <c r="CW457">
        <v>14995866</v>
      </c>
      <c r="CY457">
        <v>1</v>
      </c>
      <c r="CZ457">
        <v>0</v>
      </c>
      <c r="DA457">
        <v>1</v>
      </c>
      <c r="DB457">
        <v>0</v>
      </c>
      <c r="DC457">
        <v>0</v>
      </c>
      <c r="DD457">
        <v>1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"12/16/2021 14:44:32.974"</f>
        <v>12/16/2021 14:44:32.974</v>
      </c>
      <c r="C458" t="str">
        <f t="shared" si="19"/>
        <v>FFDFD3C0</v>
      </c>
      <c r="D458" t="s">
        <v>113</v>
      </c>
      <c r="E458">
        <v>8</v>
      </c>
      <c r="H458">
        <v>176</v>
      </c>
      <c r="I458" t="s">
        <v>114</v>
      </c>
      <c r="J458" t="s">
        <v>115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"14:44:32.750"</f>
        <v>14:44:32.750</v>
      </c>
      <c r="T458" t="str">
        <f>"14:44:32.250"</f>
        <v>14:44:32.250</v>
      </c>
      <c r="U458" t="str">
        <f t="shared" si="21"/>
        <v>A0F928</v>
      </c>
      <c r="V458">
        <v>0</v>
      </c>
      <c r="W458">
        <v>0</v>
      </c>
      <c r="X458">
        <v>2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1</v>
      </c>
      <c r="AI458" t="s">
        <v>352</v>
      </c>
      <c r="AJ458">
        <v>35.806095999999997</v>
      </c>
      <c r="AK458" t="s">
        <v>353</v>
      </c>
      <c r="AL458">
        <v>-83.958034999999995</v>
      </c>
      <c r="AM458">
        <v>25</v>
      </c>
      <c r="AN458">
        <v>1600</v>
      </c>
      <c r="AO458" t="s">
        <v>118</v>
      </c>
      <c r="AP458">
        <v>93</v>
      </c>
      <c r="AQ458">
        <v>92</v>
      </c>
      <c r="AR458">
        <v>-448</v>
      </c>
      <c r="AZ458">
        <v>300</v>
      </c>
      <c r="BA458">
        <v>1</v>
      </c>
      <c r="BB458" t="str">
        <f t="shared" si="20"/>
        <v xml:space="preserve">N162AM  </v>
      </c>
      <c r="BC458">
        <v>1</v>
      </c>
      <c r="BE458">
        <v>0</v>
      </c>
      <c r="BF458">
        <v>0</v>
      </c>
      <c r="BG458">
        <v>0</v>
      </c>
      <c r="BH458">
        <v>1850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>"14:44:32.754"</f>
        <v>14:44:32.754</v>
      </c>
      <c r="CJ458">
        <v>3</v>
      </c>
      <c r="CK458">
        <v>2</v>
      </c>
      <c r="CL458">
        <v>0</v>
      </c>
      <c r="CM458">
        <v>2</v>
      </c>
      <c r="CN458">
        <v>0</v>
      </c>
      <c r="CO458">
        <v>6</v>
      </c>
      <c r="CP458" t="s">
        <v>119</v>
      </c>
      <c r="CQ458">
        <v>232</v>
      </c>
      <c r="CR458">
        <v>1</v>
      </c>
      <c r="CW458">
        <v>14997448</v>
      </c>
      <c r="CY458">
        <v>1</v>
      </c>
      <c r="CZ458">
        <v>0</v>
      </c>
      <c r="DA458">
        <v>0</v>
      </c>
      <c r="DB458">
        <v>0</v>
      </c>
      <c r="DC458">
        <v>0</v>
      </c>
      <c r="DD458">
        <v>1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"12/16/2021 14:44:32.990"</f>
        <v>12/16/2021 14:44:32.990</v>
      </c>
      <c r="C459" t="str">
        <f t="shared" si="19"/>
        <v>FFDFD3C0</v>
      </c>
      <c r="D459" t="s">
        <v>124</v>
      </c>
      <c r="E459">
        <v>10</v>
      </c>
      <c r="F459">
        <v>1010</v>
      </c>
      <c r="G459" t="s">
        <v>130</v>
      </c>
      <c r="J459" t="s">
        <v>125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"14:44:32.750"</f>
        <v>14:44:32.750</v>
      </c>
      <c r="T459" t="str">
        <f>"14:44:32.250"</f>
        <v>14:44:32.250</v>
      </c>
      <c r="U459" t="str">
        <f t="shared" si="21"/>
        <v>A0F928</v>
      </c>
      <c r="V459">
        <v>0</v>
      </c>
      <c r="W459">
        <v>0</v>
      </c>
      <c r="X459">
        <v>2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0</v>
      </c>
      <c r="AG459">
        <v>2</v>
      </c>
      <c r="AH459">
        <v>1</v>
      </c>
      <c r="AI459" t="s">
        <v>352</v>
      </c>
      <c r="AJ459">
        <v>35.806095999999997</v>
      </c>
      <c r="AK459" t="s">
        <v>353</v>
      </c>
      <c r="AL459">
        <v>-83.958034999999995</v>
      </c>
      <c r="AM459">
        <v>25</v>
      </c>
      <c r="AN459">
        <v>1600</v>
      </c>
      <c r="AO459" t="s">
        <v>118</v>
      </c>
      <c r="AP459">
        <v>93</v>
      </c>
      <c r="AQ459">
        <v>92</v>
      </c>
      <c r="AR459">
        <v>-448</v>
      </c>
      <c r="AZ459">
        <v>300</v>
      </c>
      <c r="BA459">
        <v>1</v>
      </c>
      <c r="BB459" t="str">
        <f t="shared" si="20"/>
        <v xml:space="preserve">N162AM  </v>
      </c>
      <c r="BC459">
        <v>1</v>
      </c>
      <c r="BE459">
        <v>0</v>
      </c>
      <c r="BF459">
        <v>0</v>
      </c>
      <c r="BG459">
        <v>0</v>
      </c>
      <c r="BH459">
        <v>1850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>"14:44:32.754"</f>
        <v>14:44:32.754</v>
      </c>
      <c r="CJ459">
        <v>2</v>
      </c>
      <c r="CK459">
        <v>2</v>
      </c>
      <c r="CL459">
        <v>0</v>
      </c>
      <c r="CM459">
        <v>2</v>
      </c>
      <c r="CN459">
        <v>0</v>
      </c>
      <c r="CO459">
        <v>6</v>
      </c>
      <c r="CP459" t="s">
        <v>119</v>
      </c>
      <c r="CQ459">
        <v>232</v>
      </c>
      <c r="CR459">
        <v>1</v>
      </c>
      <c r="CW459">
        <v>14997448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1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"12/16/2021 14:44:32.990"</f>
        <v>12/16/2021 14:44:32.990</v>
      </c>
      <c r="C460" t="str">
        <f t="shared" ref="C460:C523" si="22">"FFDFD3C0"</f>
        <v>FFDFD3C0</v>
      </c>
      <c r="D460" t="s">
        <v>133</v>
      </c>
      <c r="E460">
        <v>44</v>
      </c>
      <c r="H460">
        <v>131</v>
      </c>
      <c r="I460" t="s">
        <v>134</v>
      </c>
      <c r="J460" t="s">
        <v>135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"14:44:32.750"</f>
        <v>14:44:32.750</v>
      </c>
      <c r="T460" t="str">
        <f>"14:44:32.250"</f>
        <v>14:44:32.250</v>
      </c>
      <c r="U460" t="str">
        <f t="shared" si="21"/>
        <v>A0F928</v>
      </c>
      <c r="V460">
        <v>0</v>
      </c>
      <c r="W460">
        <v>0</v>
      </c>
      <c r="X460">
        <v>2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1</v>
      </c>
      <c r="AI460" t="s">
        <v>352</v>
      </c>
      <c r="AJ460">
        <v>35.806095999999997</v>
      </c>
      <c r="AK460" t="s">
        <v>353</v>
      </c>
      <c r="AL460">
        <v>-83.958034999999995</v>
      </c>
      <c r="AM460">
        <v>25</v>
      </c>
      <c r="AN460">
        <v>1600</v>
      </c>
      <c r="AO460" t="s">
        <v>118</v>
      </c>
      <c r="AP460">
        <v>93</v>
      </c>
      <c r="AQ460">
        <v>92</v>
      </c>
      <c r="AR460">
        <v>-448</v>
      </c>
      <c r="AZ460">
        <v>300</v>
      </c>
      <c r="BA460">
        <v>1</v>
      </c>
      <c r="BB460" t="str">
        <f t="shared" ref="BB460:BB523" si="23">"N162AM  "</f>
        <v xml:space="preserve">N162AM  </v>
      </c>
      <c r="BC460">
        <v>1</v>
      </c>
      <c r="BE460">
        <v>0</v>
      </c>
      <c r="BF460">
        <v>0</v>
      </c>
      <c r="BG460">
        <v>0</v>
      </c>
      <c r="BH460">
        <v>1850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>"14:44:32.754"</f>
        <v>14:44:32.754</v>
      </c>
      <c r="CJ460">
        <v>3</v>
      </c>
      <c r="CK460">
        <v>2</v>
      </c>
      <c r="CL460">
        <v>0</v>
      </c>
      <c r="CM460">
        <v>2</v>
      </c>
      <c r="CN460">
        <v>0</v>
      </c>
      <c r="CO460">
        <v>6</v>
      </c>
      <c r="CP460" t="s">
        <v>119</v>
      </c>
      <c r="CQ460">
        <v>232</v>
      </c>
      <c r="CR460">
        <v>1</v>
      </c>
      <c r="CW460">
        <v>14997448</v>
      </c>
      <c r="CY460">
        <v>1</v>
      </c>
      <c r="CZ460">
        <v>0</v>
      </c>
      <c r="DA460">
        <v>1</v>
      </c>
      <c r="DB460">
        <v>0</v>
      </c>
      <c r="DC460">
        <v>0</v>
      </c>
      <c r="DD460">
        <v>1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"12/16/2021 14:44:32.990"</f>
        <v>12/16/2021 14:44:32.990</v>
      </c>
      <c r="C461" t="str">
        <f t="shared" si="22"/>
        <v>FFDFD3C0</v>
      </c>
      <c r="D461" t="s">
        <v>124</v>
      </c>
      <c r="E461">
        <v>5</v>
      </c>
      <c r="F461">
        <v>1005</v>
      </c>
      <c r="G461" t="s">
        <v>114</v>
      </c>
      <c r="J461" t="s">
        <v>125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"14:44:32.750"</f>
        <v>14:44:32.750</v>
      </c>
      <c r="T461" t="str">
        <f>"14:44:32.250"</f>
        <v>14:44:32.250</v>
      </c>
      <c r="U461" t="str">
        <f t="shared" si="21"/>
        <v>A0F928</v>
      </c>
      <c r="V461">
        <v>0</v>
      </c>
      <c r="W461">
        <v>0</v>
      </c>
      <c r="X461">
        <v>2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1</v>
      </c>
      <c r="AI461" t="s">
        <v>352</v>
      </c>
      <c r="AJ461">
        <v>35.806095999999997</v>
      </c>
      <c r="AK461" t="s">
        <v>353</v>
      </c>
      <c r="AL461">
        <v>-83.958034999999995</v>
      </c>
      <c r="AM461">
        <v>25</v>
      </c>
      <c r="AN461">
        <v>1600</v>
      </c>
      <c r="AO461" t="s">
        <v>118</v>
      </c>
      <c r="AP461">
        <v>93</v>
      </c>
      <c r="AQ461">
        <v>92</v>
      </c>
      <c r="AR461">
        <v>-448</v>
      </c>
      <c r="AZ461">
        <v>300</v>
      </c>
      <c r="BA461">
        <v>1</v>
      </c>
      <c r="BB461" t="str">
        <f t="shared" si="23"/>
        <v xml:space="preserve">N162AM  </v>
      </c>
      <c r="BC461">
        <v>1</v>
      </c>
      <c r="BE461">
        <v>0</v>
      </c>
      <c r="BF461">
        <v>0</v>
      </c>
      <c r="BG461">
        <v>0</v>
      </c>
      <c r="BH461">
        <v>1850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>"14:44:32.754"</f>
        <v>14:44:32.754</v>
      </c>
      <c r="CJ461">
        <v>3</v>
      </c>
      <c r="CK461">
        <v>2</v>
      </c>
      <c r="CL461">
        <v>0</v>
      </c>
      <c r="CM461">
        <v>2</v>
      </c>
      <c r="CN461">
        <v>0</v>
      </c>
      <c r="CO461">
        <v>6</v>
      </c>
      <c r="CP461" t="s">
        <v>119</v>
      </c>
      <c r="CQ461">
        <v>232</v>
      </c>
      <c r="CR461">
        <v>1</v>
      </c>
      <c r="CW461">
        <v>14997448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1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"12/16/2021 14:44:33.896"</f>
        <v>12/16/2021 14:44:33.896</v>
      </c>
      <c r="C462" t="str">
        <f t="shared" si="22"/>
        <v>FFDFD3C0</v>
      </c>
      <c r="D462" t="s">
        <v>124</v>
      </c>
      <c r="E462">
        <v>10</v>
      </c>
      <c r="F462">
        <v>1010</v>
      </c>
      <c r="G462" t="s">
        <v>130</v>
      </c>
      <c r="J462" t="s">
        <v>125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"14:44:33.688"</f>
        <v>14:44:33.688</v>
      </c>
      <c r="T462" t="str">
        <f>"14:44:33.388"</f>
        <v>14:44:33.388</v>
      </c>
      <c r="U462" t="str">
        <f t="shared" si="21"/>
        <v>A0F928</v>
      </c>
      <c r="V462">
        <v>0</v>
      </c>
      <c r="W462">
        <v>0</v>
      </c>
      <c r="X462">
        <v>2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0</v>
      </c>
      <c r="AG462">
        <v>2</v>
      </c>
      <c r="AH462">
        <v>1</v>
      </c>
      <c r="AI462" t="s">
        <v>354</v>
      </c>
      <c r="AJ462">
        <v>35.806438999999997</v>
      </c>
      <c r="AK462" t="s">
        <v>355</v>
      </c>
      <c r="AL462">
        <v>-83.957520000000002</v>
      </c>
      <c r="AM462">
        <v>25</v>
      </c>
      <c r="AN462">
        <v>1600</v>
      </c>
      <c r="AO462" t="s">
        <v>118</v>
      </c>
      <c r="AP462">
        <v>93</v>
      </c>
      <c r="AQ462">
        <v>91</v>
      </c>
      <c r="AR462">
        <v>-384</v>
      </c>
      <c r="AZ462">
        <v>300</v>
      </c>
      <c r="BA462">
        <v>1</v>
      </c>
      <c r="BB462" t="str">
        <f t="shared" si="23"/>
        <v xml:space="preserve">N162AM  </v>
      </c>
      <c r="BC462">
        <v>1</v>
      </c>
      <c r="BE462">
        <v>0</v>
      </c>
      <c r="BF462">
        <v>0</v>
      </c>
      <c r="BG462">
        <v>0</v>
      </c>
      <c r="BH462">
        <v>1850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>"14:44:33.692"</f>
        <v>14:44:33.692</v>
      </c>
      <c r="CJ462">
        <v>2</v>
      </c>
      <c r="CK462">
        <v>2</v>
      </c>
      <c r="CL462">
        <v>0</v>
      </c>
      <c r="CM462">
        <v>2</v>
      </c>
      <c r="CN462">
        <v>0</v>
      </c>
      <c r="CO462">
        <v>6</v>
      </c>
      <c r="CP462" t="s">
        <v>119</v>
      </c>
      <c r="CQ462">
        <v>232</v>
      </c>
      <c r="CR462">
        <v>2</v>
      </c>
      <c r="CW462">
        <v>6195666</v>
      </c>
      <c r="CY462">
        <v>1</v>
      </c>
      <c r="CZ462">
        <v>0</v>
      </c>
      <c r="DA462">
        <v>0</v>
      </c>
      <c r="DB462">
        <v>0</v>
      </c>
      <c r="DC462">
        <v>0</v>
      </c>
      <c r="DD462">
        <v>1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"12/16/2021 14:44:33.896"</f>
        <v>12/16/2021 14:44:33.896</v>
      </c>
      <c r="C463" t="str">
        <f t="shared" si="22"/>
        <v>FFDFD3C0</v>
      </c>
      <c r="D463" t="s">
        <v>133</v>
      </c>
      <c r="E463">
        <v>44</v>
      </c>
      <c r="H463">
        <v>131</v>
      </c>
      <c r="I463" t="s">
        <v>134</v>
      </c>
      <c r="J463" t="s">
        <v>135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"14:44:33.688"</f>
        <v>14:44:33.688</v>
      </c>
      <c r="T463" t="str">
        <f>"14:44:33.388"</f>
        <v>14:44:33.388</v>
      </c>
      <c r="U463" t="str">
        <f t="shared" si="21"/>
        <v>A0F928</v>
      </c>
      <c r="V463">
        <v>0</v>
      </c>
      <c r="W463">
        <v>0</v>
      </c>
      <c r="X463">
        <v>2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1</v>
      </c>
      <c r="AI463" t="s">
        <v>354</v>
      </c>
      <c r="AJ463">
        <v>35.806438999999997</v>
      </c>
      <c r="AK463" t="s">
        <v>355</v>
      </c>
      <c r="AL463">
        <v>-83.957520000000002</v>
      </c>
      <c r="AM463">
        <v>25</v>
      </c>
      <c r="AN463">
        <v>1600</v>
      </c>
      <c r="AO463" t="s">
        <v>118</v>
      </c>
      <c r="AP463">
        <v>93</v>
      </c>
      <c r="AQ463">
        <v>91</v>
      </c>
      <c r="AR463">
        <v>-384</v>
      </c>
      <c r="AZ463">
        <v>300</v>
      </c>
      <c r="BA463">
        <v>1</v>
      </c>
      <c r="BB463" t="str">
        <f t="shared" si="23"/>
        <v xml:space="preserve">N162AM  </v>
      </c>
      <c r="BC463">
        <v>1</v>
      </c>
      <c r="BE463">
        <v>0</v>
      </c>
      <c r="BF463">
        <v>0</v>
      </c>
      <c r="BG463">
        <v>0</v>
      </c>
      <c r="BH463">
        <v>1850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>"14:44:33.692"</f>
        <v>14:44:33.692</v>
      </c>
      <c r="CJ463">
        <v>3</v>
      </c>
      <c r="CK463">
        <v>2</v>
      </c>
      <c r="CL463">
        <v>0</v>
      </c>
      <c r="CM463">
        <v>2</v>
      </c>
      <c r="CN463">
        <v>0</v>
      </c>
      <c r="CO463">
        <v>6</v>
      </c>
      <c r="CP463" t="s">
        <v>119</v>
      </c>
      <c r="CQ463">
        <v>232</v>
      </c>
      <c r="CR463">
        <v>2</v>
      </c>
      <c r="CW463">
        <v>6195666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1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"12/16/2021 14:44:33.959"</f>
        <v>12/16/2021 14:44:33.959</v>
      </c>
      <c r="C464" t="str">
        <f t="shared" si="22"/>
        <v>FFDFD3C0</v>
      </c>
      <c r="D464" t="s">
        <v>113</v>
      </c>
      <c r="E464">
        <v>8</v>
      </c>
      <c r="H464">
        <v>176</v>
      </c>
      <c r="I464" t="s">
        <v>114</v>
      </c>
      <c r="J464" t="s">
        <v>115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"14:44:33.688"</f>
        <v>14:44:33.688</v>
      </c>
      <c r="T464" t="str">
        <f>"14:44:33.388"</f>
        <v>14:44:33.388</v>
      </c>
      <c r="U464" t="str">
        <f t="shared" si="21"/>
        <v>A0F928</v>
      </c>
      <c r="V464">
        <v>0</v>
      </c>
      <c r="W464">
        <v>0</v>
      </c>
      <c r="X464">
        <v>2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1</v>
      </c>
      <c r="AI464" t="s">
        <v>354</v>
      </c>
      <c r="AJ464">
        <v>35.806438999999997</v>
      </c>
      <c r="AK464" t="s">
        <v>355</v>
      </c>
      <c r="AL464">
        <v>-83.957520000000002</v>
      </c>
      <c r="AM464">
        <v>25</v>
      </c>
      <c r="AN464">
        <v>1600</v>
      </c>
      <c r="AO464" t="s">
        <v>118</v>
      </c>
      <c r="AP464">
        <v>93</v>
      </c>
      <c r="AQ464">
        <v>91</v>
      </c>
      <c r="AR464">
        <v>-384</v>
      </c>
      <c r="AZ464">
        <v>300</v>
      </c>
      <c r="BA464">
        <v>1</v>
      </c>
      <c r="BB464" t="str">
        <f t="shared" si="23"/>
        <v xml:space="preserve">N162AM  </v>
      </c>
      <c r="BC464">
        <v>1</v>
      </c>
      <c r="BE464">
        <v>0</v>
      </c>
      <c r="BF464">
        <v>0</v>
      </c>
      <c r="BG464">
        <v>0</v>
      </c>
      <c r="BH464">
        <v>1850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>"14:44:33.692"</f>
        <v>14:44:33.692</v>
      </c>
      <c r="CJ464">
        <v>3</v>
      </c>
      <c r="CK464">
        <v>2</v>
      </c>
      <c r="CL464">
        <v>0</v>
      </c>
      <c r="CM464">
        <v>2</v>
      </c>
      <c r="CN464">
        <v>0</v>
      </c>
      <c r="CO464">
        <v>6</v>
      </c>
      <c r="CP464" t="s">
        <v>119</v>
      </c>
      <c r="CQ464">
        <v>232</v>
      </c>
      <c r="CR464">
        <v>2</v>
      </c>
      <c r="CW464">
        <v>6195666</v>
      </c>
      <c r="CY464">
        <v>1</v>
      </c>
      <c r="CZ464">
        <v>0</v>
      </c>
      <c r="DA464">
        <v>1</v>
      </c>
      <c r="DB464">
        <v>0</v>
      </c>
      <c r="DC464">
        <v>0</v>
      </c>
      <c r="DD464">
        <v>1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"12/16/2021 14:44:33.959"</f>
        <v>12/16/2021 14:44:33.959</v>
      </c>
      <c r="C465" t="str">
        <f t="shared" si="22"/>
        <v>FFDFD3C0</v>
      </c>
      <c r="D465" t="s">
        <v>124</v>
      </c>
      <c r="E465">
        <v>5</v>
      </c>
      <c r="F465">
        <v>1005</v>
      </c>
      <c r="G465" t="s">
        <v>114</v>
      </c>
      <c r="J465" t="s">
        <v>125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"14:44:33.688"</f>
        <v>14:44:33.688</v>
      </c>
      <c r="T465" t="str">
        <f>"14:44:33.388"</f>
        <v>14:44:33.388</v>
      </c>
      <c r="U465" t="str">
        <f t="shared" si="21"/>
        <v>A0F928</v>
      </c>
      <c r="V465">
        <v>0</v>
      </c>
      <c r="W465">
        <v>0</v>
      </c>
      <c r="X465">
        <v>2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1</v>
      </c>
      <c r="AI465" t="s">
        <v>354</v>
      </c>
      <c r="AJ465">
        <v>35.806438999999997</v>
      </c>
      <c r="AK465" t="s">
        <v>355</v>
      </c>
      <c r="AL465">
        <v>-83.957520000000002</v>
      </c>
      <c r="AM465">
        <v>25</v>
      </c>
      <c r="AN465">
        <v>1600</v>
      </c>
      <c r="AO465" t="s">
        <v>118</v>
      </c>
      <c r="AP465">
        <v>93</v>
      </c>
      <c r="AQ465">
        <v>91</v>
      </c>
      <c r="AR465">
        <v>-384</v>
      </c>
      <c r="AZ465">
        <v>300</v>
      </c>
      <c r="BA465">
        <v>1</v>
      </c>
      <c r="BB465" t="str">
        <f t="shared" si="23"/>
        <v xml:space="preserve">N162AM  </v>
      </c>
      <c r="BC465">
        <v>1</v>
      </c>
      <c r="BE465">
        <v>0</v>
      </c>
      <c r="BF465">
        <v>0</v>
      </c>
      <c r="BG465">
        <v>0</v>
      </c>
      <c r="BH465">
        <v>1850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>"14:44:33.692"</f>
        <v>14:44:33.692</v>
      </c>
      <c r="CJ465">
        <v>3</v>
      </c>
      <c r="CK465">
        <v>2</v>
      </c>
      <c r="CL465">
        <v>0</v>
      </c>
      <c r="CM465">
        <v>2</v>
      </c>
      <c r="CN465">
        <v>0</v>
      </c>
      <c r="CO465">
        <v>6</v>
      </c>
      <c r="CP465" t="s">
        <v>119</v>
      </c>
      <c r="CQ465">
        <v>232</v>
      </c>
      <c r="CR465">
        <v>2</v>
      </c>
      <c r="CW465">
        <v>6195666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1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"12/16/2021 14:44:34.865"</f>
        <v>12/16/2021 14:44:34.865</v>
      </c>
      <c r="C466" t="str">
        <f t="shared" si="22"/>
        <v>FFDFD3C0</v>
      </c>
      <c r="D466" t="s">
        <v>124</v>
      </c>
      <c r="E466">
        <v>5</v>
      </c>
      <c r="F466">
        <v>1005</v>
      </c>
      <c r="G466" t="s">
        <v>114</v>
      </c>
      <c r="J466" t="s">
        <v>125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"14:44:34.648"</f>
        <v>14:44:34.648</v>
      </c>
      <c r="T466" t="str">
        <f>"14:44:34.248"</f>
        <v>14:44:34.248</v>
      </c>
      <c r="U466" t="str">
        <f t="shared" si="21"/>
        <v>A0F928</v>
      </c>
      <c r="V466">
        <v>0</v>
      </c>
      <c r="W466">
        <v>0</v>
      </c>
      <c r="X466">
        <v>2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1</v>
      </c>
      <c r="AI466" t="s">
        <v>356</v>
      </c>
      <c r="AJ466">
        <v>35.806910999999999</v>
      </c>
      <c r="AK466" t="s">
        <v>357</v>
      </c>
      <c r="AL466">
        <v>-83.956982999999994</v>
      </c>
      <c r="AM466">
        <v>25</v>
      </c>
      <c r="AN466">
        <v>1600</v>
      </c>
      <c r="AO466" t="s">
        <v>118</v>
      </c>
      <c r="AP466">
        <v>93</v>
      </c>
      <c r="AQ466">
        <v>90</v>
      </c>
      <c r="AR466">
        <v>-320</v>
      </c>
      <c r="AZ466">
        <v>300</v>
      </c>
      <c r="BA466">
        <v>1</v>
      </c>
      <c r="BB466" t="str">
        <f t="shared" si="23"/>
        <v xml:space="preserve">N162AM  </v>
      </c>
      <c r="BC466">
        <v>1</v>
      </c>
      <c r="BE466">
        <v>0</v>
      </c>
      <c r="BF466">
        <v>0</v>
      </c>
      <c r="BG466">
        <v>0</v>
      </c>
      <c r="BH466">
        <v>1850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>"14:44:34.655"</f>
        <v>14:44:34.655</v>
      </c>
      <c r="CJ466">
        <v>3</v>
      </c>
      <c r="CK466">
        <v>2</v>
      </c>
      <c r="CL466">
        <v>0</v>
      </c>
      <c r="CM466">
        <v>2</v>
      </c>
      <c r="CN466">
        <v>0</v>
      </c>
      <c r="CO466">
        <v>6</v>
      </c>
      <c r="CP466" t="s">
        <v>119</v>
      </c>
      <c r="CQ466">
        <v>232</v>
      </c>
      <c r="CR466">
        <v>2</v>
      </c>
      <c r="CW466">
        <v>6197176</v>
      </c>
      <c r="CY466">
        <v>1</v>
      </c>
      <c r="CZ466">
        <v>0</v>
      </c>
      <c r="DA466">
        <v>0</v>
      </c>
      <c r="DB466">
        <v>0</v>
      </c>
      <c r="DC466">
        <v>0</v>
      </c>
      <c r="DD466">
        <v>1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"12/16/2021 14:44:34.865"</f>
        <v>12/16/2021 14:44:34.865</v>
      </c>
      <c r="C467" t="str">
        <f t="shared" si="22"/>
        <v>FFDFD3C0</v>
      </c>
      <c r="D467" t="s">
        <v>113</v>
      </c>
      <c r="E467">
        <v>8</v>
      </c>
      <c r="H467">
        <v>176</v>
      </c>
      <c r="I467" t="s">
        <v>114</v>
      </c>
      <c r="J467" t="s">
        <v>115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"14:44:34.648"</f>
        <v>14:44:34.648</v>
      </c>
      <c r="T467" t="str">
        <f>"14:44:34.248"</f>
        <v>14:44:34.248</v>
      </c>
      <c r="U467" t="str">
        <f t="shared" si="21"/>
        <v>A0F928</v>
      </c>
      <c r="V467">
        <v>0</v>
      </c>
      <c r="W467">
        <v>0</v>
      </c>
      <c r="X467">
        <v>2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1</v>
      </c>
      <c r="AI467" t="s">
        <v>356</v>
      </c>
      <c r="AJ467">
        <v>35.806910999999999</v>
      </c>
      <c r="AK467" t="s">
        <v>357</v>
      </c>
      <c r="AL467">
        <v>-83.956982999999994</v>
      </c>
      <c r="AM467">
        <v>25</v>
      </c>
      <c r="AN467">
        <v>1600</v>
      </c>
      <c r="AO467" t="s">
        <v>118</v>
      </c>
      <c r="AP467">
        <v>93</v>
      </c>
      <c r="AQ467">
        <v>90</v>
      </c>
      <c r="AR467">
        <v>-320</v>
      </c>
      <c r="AZ467">
        <v>300</v>
      </c>
      <c r="BA467">
        <v>1</v>
      </c>
      <c r="BB467" t="str">
        <f t="shared" si="23"/>
        <v xml:space="preserve">N162AM  </v>
      </c>
      <c r="BC467">
        <v>1</v>
      </c>
      <c r="BE467">
        <v>0</v>
      </c>
      <c r="BF467">
        <v>0</v>
      </c>
      <c r="BG467">
        <v>0</v>
      </c>
      <c r="BH467">
        <v>1850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>"14:44:34.655"</f>
        <v>14:44:34.655</v>
      </c>
      <c r="CJ467">
        <v>3</v>
      </c>
      <c r="CK467">
        <v>2</v>
      </c>
      <c r="CL467">
        <v>0</v>
      </c>
      <c r="CM467">
        <v>2</v>
      </c>
      <c r="CN467">
        <v>0</v>
      </c>
      <c r="CO467">
        <v>6</v>
      </c>
      <c r="CP467" t="s">
        <v>119</v>
      </c>
      <c r="CQ467">
        <v>232</v>
      </c>
      <c r="CR467">
        <v>2</v>
      </c>
      <c r="CW467">
        <v>6197176</v>
      </c>
      <c r="CY467">
        <v>1</v>
      </c>
      <c r="CZ467">
        <v>0</v>
      </c>
      <c r="DA467">
        <v>1</v>
      </c>
      <c r="DB467">
        <v>0</v>
      </c>
      <c r="DC467">
        <v>0</v>
      </c>
      <c r="DD467">
        <v>1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"12/16/2021 14:44:34.865"</f>
        <v>12/16/2021 14:44:34.865</v>
      </c>
      <c r="C468" t="str">
        <f t="shared" si="22"/>
        <v>FFDFD3C0</v>
      </c>
      <c r="D468" t="s">
        <v>133</v>
      </c>
      <c r="E468">
        <v>44</v>
      </c>
      <c r="H468">
        <v>131</v>
      </c>
      <c r="I468" t="s">
        <v>134</v>
      </c>
      <c r="J468" t="s">
        <v>135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"14:44:34.648"</f>
        <v>14:44:34.648</v>
      </c>
      <c r="T468" t="str">
        <f>"14:44:34.248"</f>
        <v>14:44:34.248</v>
      </c>
      <c r="U468" t="str">
        <f t="shared" si="21"/>
        <v>A0F928</v>
      </c>
      <c r="V468">
        <v>0</v>
      </c>
      <c r="W468">
        <v>0</v>
      </c>
      <c r="X468">
        <v>2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1</v>
      </c>
      <c r="AI468" t="s">
        <v>356</v>
      </c>
      <c r="AJ468">
        <v>35.806910999999999</v>
      </c>
      <c r="AK468" t="s">
        <v>357</v>
      </c>
      <c r="AL468">
        <v>-83.956982999999994</v>
      </c>
      <c r="AM468">
        <v>25</v>
      </c>
      <c r="AN468">
        <v>1600</v>
      </c>
      <c r="AO468" t="s">
        <v>118</v>
      </c>
      <c r="AP468">
        <v>93</v>
      </c>
      <c r="AQ468">
        <v>90</v>
      </c>
      <c r="AR468">
        <v>-320</v>
      </c>
      <c r="AZ468">
        <v>300</v>
      </c>
      <c r="BA468">
        <v>1</v>
      </c>
      <c r="BB468" t="str">
        <f t="shared" si="23"/>
        <v xml:space="preserve">N162AM  </v>
      </c>
      <c r="BC468">
        <v>1</v>
      </c>
      <c r="BE468">
        <v>0</v>
      </c>
      <c r="BF468">
        <v>0</v>
      </c>
      <c r="BG468">
        <v>0</v>
      </c>
      <c r="BH468">
        <v>1850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>"14:44:34.655"</f>
        <v>14:44:34.655</v>
      </c>
      <c r="CJ468">
        <v>3</v>
      </c>
      <c r="CK468">
        <v>2</v>
      </c>
      <c r="CL468">
        <v>0</v>
      </c>
      <c r="CM468">
        <v>2</v>
      </c>
      <c r="CN468">
        <v>0</v>
      </c>
      <c r="CO468">
        <v>6</v>
      </c>
      <c r="CP468" t="s">
        <v>119</v>
      </c>
      <c r="CQ468">
        <v>232</v>
      </c>
      <c r="CR468">
        <v>2</v>
      </c>
      <c r="CW468">
        <v>6197176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1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"12/16/2021 14:44:34.865"</f>
        <v>12/16/2021 14:44:34.865</v>
      </c>
      <c r="C469" t="str">
        <f t="shared" si="22"/>
        <v>FFDFD3C0</v>
      </c>
      <c r="D469" t="s">
        <v>124</v>
      </c>
      <c r="E469">
        <v>10</v>
      </c>
      <c r="F469">
        <v>1010</v>
      </c>
      <c r="G469" t="s">
        <v>130</v>
      </c>
      <c r="J469" t="s">
        <v>125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"14:44:34.648"</f>
        <v>14:44:34.648</v>
      </c>
      <c r="T469" t="str">
        <f>"14:44:34.248"</f>
        <v>14:44:34.248</v>
      </c>
      <c r="U469" t="str">
        <f t="shared" si="21"/>
        <v>A0F928</v>
      </c>
      <c r="V469">
        <v>0</v>
      </c>
      <c r="W469">
        <v>0</v>
      </c>
      <c r="X469">
        <v>2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0</v>
      </c>
      <c r="AG469">
        <v>2</v>
      </c>
      <c r="AH469">
        <v>1</v>
      </c>
      <c r="AI469" t="s">
        <v>356</v>
      </c>
      <c r="AJ469">
        <v>35.806910999999999</v>
      </c>
      <c r="AK469" t="s">
        <v>357</v>
      </c>
      <c r="AL469">
        <v>-83.956982999999994</v>
      </c>
      <c r="AM469">
        <v>25</v>
      </c>
      <c r="AN469">
        <v>1600</v>
      </c>
      <c r="AO469" t="s">
        <v>118</v>
      </c>
      <c r="AP469">
        <v>93</v>
      </c>
      <c r="AQ469">
        <v>90</v>
      </c>
      <c r="AR469">
        <v>-320</v>
      </c>
      <c r="AZ469">
        <v>300</v>
      </c>
      <c r="BA469">
        <v>1</v>
      </c>
      <c r="BB469" t="str">
        <f t="shared" si="23"/>
        <v xml:space="preserve">N162AM  </v>
      </c>
      <c r="BC469">
        <v>1</v>
      </c>
      <c r="BE469">
        <v>0</v>
      </c>
      <c r="BF469">
        <v>0</v>
      </c>
      <c r="BG469">
        <v>0</v>
      </c>
      <c r="BH469">
        <v>1850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>"14:44:34.655"</f>
        <v>14:44:34.655</v>
      </c>
      <c r="CJ469">
        <v>2</v>
      </c>
      <c r="CK469">
        <v>2</v>
      </c>
      <c r="CL469">
        <v>0</v>
      </c>
      <c r="CM469">
        <v>2</v>
      </c>
      <c r="CN469">
        <v>0</v>
      </c>
      <c r="CO469">
        <v>6</v>
      </c>
      <c r="CP469" t="s">
        <v>119</v>
      </c>
      <c r="CQ469">
        <v>232</v>
      </c>
      <c r="CR469">
        <v>2</v>
      </c>
      <c r="CW469">
        <v>6197176</v>
      </c>
      <c r="CY469">
        <v>1</v>
      </c>
      <c r="CZ469">
        <v>0</v>
      </c>
      <c r="DA469">
        <v>1</v>
      </c>
      <c r="DB469">
        <v>0</v>
      </c>
      <c r="DC469">
        <v>0</v>
      </c>
      <c r="DD469">
        <v>1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"12/16/2021 14:44:35.834"</f>
        <v>12/16/2021 14:44:35.834</v>
      </c>
      <c r="C470" t="str">
        <f t="shared" si="22"/>
        <v>FFDFD3C0</v>
      </c>
      <c r="D470" t="s">
        <v>124</v>
      </c>
      <c r="E470">
        <v>5</v>
      </c>
      <c r="F470">
        <v>1005</v>
      </c>
      <c r="G470" t="s">
        <v>114</v>
      </c>
      <c r="J470" t="s">
        <v>125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"14:44:35.570"</f>
        <v>14:44:35.570</v>
      </c>
      <c r="T470" t="str">
        <f>"14:44:35.170"</f>
        <v>14:44:35.170</v>
      </c>
      <c r="U470" t="str">
        <f t="shared" si="21"/>
        <v>A0F928</v>
      </c>
      <c r="V470">
        <v>0</v>
      </c>
      <c r="W470">
        <v>0</v>
      </c>
      <c r="X470">
        <v>2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1</v>
      </c>
      <c r="AI470" t="s">
        <v>358</v>
      </c>
      <c r="AJ470">
        <v>35.807276000000002</v>
      </c>
      <c r="AK470" t="s">
        <v>359</v>
      </c>
      <c r="AL470">
        <v>-83.956553999999997</v>
      </c>
      <c r="AM470">
        <v>25</v>
      </c>
      <c r="AN470">
        <v>1575</v>
      </c>
      <c r="AO470" t="s">
        <v>118</v>
      </c>
      <c r="AP470">
        <v>93</v>
      </c>
      <c r="AQ470">
        <v>89</v>
      </c>
      <c r="AR470">
        <v>-256</v>
      </c>
      <c r="AZ470">
        <v>300</v>
      </c>
      <c r="BA470">
        <v>1</v>
      </c>
      <c r="BB470" t="str">
        <f t="shared" si="23"/>
        <v xml:space="preserve">N162AM  </v>
      </c>
      <c r="BC470">
        <v>1</v>
      </c>
      <c r="BE470">
        <v>0</v>
      </c>
      <c r="BF470">
        <v>0</v>
      </c>
      <c r="BG470">
        <v>0</v>
      </c>
      <c r="BH470">
        <v>1850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>"14:44:35.577"</f>
        <v>14:44:35.577</v>
      </c>
      <c r="CJ470">
        <v>3</v>
      </c>
      <c r="CK470">
        <v>2</v>
      </c>
      <c r="CL470">
        <v>0</v>
      </c>
      <c r="CM470">
        <v>2</v>
      </c>
      <c r="CN470">
        <v>0</v>
      </c>
      <c r="CO470">
        <v>6</v>
      </c>
      <c r="CP470" t="s">
        <v>119</v>
      </c>
      <c r="CQ470">
        <v>232</v>
      </c>
      <c r="CR470">
        <v>1</v>
      </c>
      <c r="CW470">
        <v>15001732</v>
      </c>
      <c r="CY470">
        <v>1</v>
      </c>
      <c r="CZ470">
        <v>0</v>
      </c>
      <c r="DA470">
        <v>0</v>
      </c>
      <c r="DB470">
        <v>0</v>
      </c>
      <c r="DC470">
        <v>0</v>
      </c>
      <c r="DD470">
        <v>1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"12/16/2021 14:44:35.834"</f>
        <v>12/16/2021 14:44:35.834</v>
      </c>
      <c r="C471" t="str">
        <f t="shared" si="22"/>
        <v>FFDFD3C0</v>
      </c>
      <c r="D471" t="s">
        <v>113</v>
      </c>
      <c r="E471">
        <v>8</v>
      </c>
      <c r="H471">
        <v>176</v>
      </c>
      <c r="I471" t="s">
        <v>114</v>
      </c>
      <c r="J471" t="s">
        <v>115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"14:44:35.570"</f>
        <v>14:44:35.570</v>
      </c>
      <c r="T471" t="str">
        <f>"14:44:35.170"</f>
        <v>14:44:35.170</v>
      </c>
      <c r="U471" t="str">
        <f t="shared" si="21"/>
        <v>A0F928</v>
      </c>
      <c r="V471">
        <v>0</v>
      </c>
      <c r="W471">
        <v>0</v>
      </c>
      <c r="X471">
        <v>2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1</v>
      </c>
      <c r="AI471" t="s">
        <v>358</v>
      </c>
      <c r="AJ471">
        <v>35.807276000000002</v>
      </c>
      <c r="AK471" t="s">
        <v>359</v>
      </c>
      <c r="AL471">
        <v>-83.956553999999997</v>
      </c>
      <c r="AM471">
        <v>25</v>
      </c>
      <c r="AN471">
        <v>1575</v>
      </c>
      <c r="AO471" t="s">
        <v>118</v>
      </c>
      <c r="AP471">
        <v>93</v>
      </c>
      <c r="AQ471">
        <v>89</v>
      </c>
      <c r="AR471">
        <v>-256</v>
      </c>
      <c r="AZ471">
        <v>300</v>
      </c>
      <c r="BA471">
        <v>1</v>
      </c>
      <c r="BB471" t="str">
        <f t="shared" si="23"/>
        <v xml:space="preserve">N162AM  </v>
      </c>
      <c r="BC471">
        <v>1</v>
      </c>
      <c r="BE471">
        <v>0</v>
      </c>
      <c r="BF471">
        <v>0</v>
      </c>
      <c r="BG471">
        <v>0</v>
      </c>
      <c r="BH471">
        <v>1850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>"14:44:35.577"</f>
        <v>14:44:35.577</v>
      </c>
      <c r="CJ471">
        <v>3</v>
      </c>
      <c r="CK471">
        <v>2</v>
      </c>
      <c r="CL471">
        <v>0</v>
      </c>
      <c r="CM471">
        <v>2</v>
      </c>
      <c r="CN471">
        <v>0</v>
      </c>
      <c r="CO471">
        <v>6</v>
      </c>
      <c r="CP471" t="s">
        <v>119</v>
      </c>
      <c r="CQ471">
        <v>232</v>
      </c>
      <c r="CR471">
        <v>1</v>
      </c>
      <c r="CW471">
        <v>15001732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1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"12/16/2021 14:44:35.834"</f>
        <v>12/16/2021 14:44:35.834</v>
      </c>
      <c r="C472" t="str">
        <f t="shared" si="22"/>
        <v>FFDFD3C0</v>
      </c>
      <c r="D472" t="s">
        <v>124</v>
      </c>
      <c r="E472">
        <v>10</v>
      </c>
      <c r="F472">
        <v>1010</v>
      </c>
      <c r="G472" t="s">
        <v>130</v>
      </c>
      <c r="J472" t="s">
        <v>125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"14:44:35.570"</f>
        <v>14:44:35.570</v>
      </c>
      <c r="T472" t="str">
        <f>"14:44:35.170"</f>
        <v>14:44:35.170</v>
      </c>
      <c r="U472" t="str">
        <f t="shared" si="21"/>
        <v>A0F928</v>
      </c>
      <c r="V472">
        <v>0</v>
      </c>
      <c r="W472">
        <v>0</v>
      </c>
      <c r="X472">
        <v>2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0</v>
      </c>
      <c r="AG472">
        <v>2</v>
      </c>
      <c r="AH472">
        <v>1</v>
      </c>
      <c r="AI472" t="s">
        <v>358</v>
      </c>
      <c r="AJ472">
        <v>35.807276000000002</v>
      </c>
      <c r="AK472" t="s">
        <v>359</v>
      </c>
      <c r="AL472">
        <v>-83.956553999999997</v>
      </c>
      <c r="AM472">
        <v>25</v>
      </c>
      <c r="AN472">
        <v>1575</v>
      </c>
      <c r="AO472" t="s">
        <v>118</v>
      </c>
      <c r="AP472">
        <v>93</v>
      </c>
      <c r="AQ472">
        <v>89</v>
      </c>
      <c r="AR472">
        <v>-256</v>
      </c>
      <c r="AZ472">
        <v>300</v>
      </c>
      <c r="BA472">
        <v>1</v>
      </c>
      <c r="BB472" t="str">
        <f t="shared" si="23"/>
        <v xml:space="preserve">N162AM  </v>
      </c>
      <c r="BC472">
        <v>1</v>
      </c>
      <c r="BE472">
        <v>0</v>
      </c>
      <c r="BF472">
        <v>0</v>
      </c>
      <c r="BG472">
        <v>0</v>
      </c>
      <c r="BH472">
        <v>1850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>"14:44:35.577"</f>
        <v>14:44:35.577</v>
      </c>
      <c r="CJ472">
        <v>2</v>
      </c>
      <c r="CK472">
        <v>2</v>
      </c>
      <c r="CL472">
        <v>0</v>
      </c>
      <c r="CM472">
        <v>2</v>
      </c>
      <c r="CN472">
        <v>0</v>
      </c>
      <c r="CO472">
        <v>6</v>
      </c>
      <c r="CP472" t="s">
        <v>119</v>
      </c>
      <c r="CQ472">
        <v>232</v>
      </c>
      <c r="CR472">
        <v>1</v>
      </c>
      <c r="CW472">
        <v>15001732</v>
      </c>
      <c r="CY472">
        <v>1</v>
      </c>
      <c r="CZ472">
        <v>0</v>
      </c>
      <c r="DA472">
        <v>1</v>
      </c>
      <c r="DB472">
        <v>0</v>
      </c>
      <c r="DC472">
        <v>0</v>
      </c>
      <c r="DD472">
        <v>1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"12/16/2021 14:44:35.834"</f>
        <v>12/16/2021 14:44:35.834</v>
      </c>
      <c r="C473" t="str">
        <f t="shared" si="22"/>
        <v>FFDFD3C0</v>
      </c>
      <c r="D473" t="s">
        <v>133</v>
      </c>
      <c r="E473">
        <v>44</v>
      </c>
      <c r="H473">
        <v>131</v>
      </c>
      <c r="I473" t="s">
        <v>134</v>
      </c>
      <c r="J473" t="s">
        <v>135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"14:44:35.570"</f>
        <v>14:44:35.570</v>
      </c>
      <c r="T473" t="str">
        <f>"14:44:35.170"</f>
        <v>14:44:35.170</v>
      </c>
      <c r="U473" t="str">
        <f t="shared" si="21"/>
        <v>A0F928</v>
      </c>
      <c r="V473">
        <v>0</v>
      </c>
      <c r="W473">
        <v>0</v>
      </c>
      <c r="X473">
        <v>2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1</v>
      </c>
      <c r="AI473" t="s">
        <v>358</v>
      </c>
      <c r="AJ473">
        <v>35.807276000000002</v>
      </c>
      <c r="AK473" t="s">
        <v>359</v>
      </c>
      <c r="AL473">
        <v>-83.956553999999997</v>
      </c>
      <c r="AM473">
        <v>25</v>
      </c>
      <c r="AN473">
        <v>1575</v>
      </c>
      <c r="AO473" t="s">
        <v>118</v>
      </c>
      <c r="AP473">
        <v>93</v>
      </c>
      <c r="AQ473">
        <v>89</v>
      </c>
      <c r="AR473">
        <v>-256</v>
      </c>
      <c r="AZ473">
        <v>300</v>
      </c>
      <c r="BA473">
        <v>1</v>
      </c>
      <c r="BB473" t="str">
        <f t="shared" si="23"/>
        <v xml:space="preserve">N162AM  </v>
      </c>
      <c r="BC473">
        <v>1</v>
      </c>
      <c r="BE473">
        <v>0</v>
      </c>
      <c r="BF473">
        <v>0</v>
      </c>
      <c r="BG473">
        <v>0</v>
      </c>
      <c r="BH473">
        <v>1850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>"14:44:35.577"</f>
        <v>14:44:35.577</v>
      </c>
      <c r="CJ473">
        <v>3</v>
      </c>
      <c r="CK473">
        <v>2</v>
      </c>
      <c r="CL473">
        <v>0</v>
      </c>
      <c r="CM473">
        <v>2</v>
      </c>
      <c r="CN473">
        <v>0</v>
      </c>
      <c r="CO473">
        <v>6</v>
      </c>
      <c r="CP473" t="s">
        <v>119</v>
      </c>
      <c r="CQ473">
        <v>232</v>
      </c>
      <c r="CR473">
        <v>1</v>
      </c>
      <c r="CW473">
        <v>15001732</v>
      </c>
      <c r="CY473">
        <v>1</v>
      </c>
      <c r="CZ473">
        <v>0</v>
      </c>
      <c r="DA473">
        <v>1</v>
      </c>
      <c r="DB473">
        <v>0</v>
      </c>
      <c r="DC473">
        <v>0</v>
      </c>
      <c r="DD473">
        <v>1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"12/16/2021 14:44:36.787"</f>
        <v>12/16/2021 14:44:36.787</v>
      </c>
      <c r="C474" t="str">
        <f t="shared" si="22"/>
        <v>FFDFD3C0</v>
      </c>
      <c r="D474" t="s">
        <v>124</v>
      </c>
      <c r="E474">
        <v>5</v>
      </c>
      <c r="F474">
        <v>1005</v>
      </c>
      <c r="G474" t="s">
        <v>114</v>
      </c>
      <c r="J474" t="s">
        <v>125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"14:44:36.523"</f>
        <v>14:44:36.523</v>
      </c>
      <c r="T474" t="str">
        <f>"14:44:36.123"</f>
        <v>14:44:36.123</v>
      </c>
      <c r="U474" t="str">
        <f t="shared" si="21"/>
        <v>A0F928</v>
      </c>
      <c r="V474">
        <v>0</v>
      </c>
      <c r="W474">
        <v>0</v>
      </c>
      <c r="X474">
        <v>2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1</v>
      </c>
      <c r="AI474" t="s">
        <v>360</v>
      </c>
      <c r="AJ474">
        <v>35.807619000000003</v>
      </c>
      <c r="AK474" t="s">
        <v>361</v>
      </c>
      <c r="AL474">
        <v>-83.956059999999994</v>
      </c>
      <c r="AM474">
        <v>25</v>
      </c>
      <c r="AN474">
        <v>1575</v>
      </c>
      <c r="AO474" t="s">
        <v>118</v>
      </c>
      <c r="AP474">
        <v>93</v>
      </c>
      <c r="AQ474">
        <v>89</v>
      </c>
      <c r="AR474">
        <v>-192</v>
      </c>
      <c r="AZ474">
        <v>300</v>
      </c>
      <c r="BA474">
        <v>1</v>
      </c>
      <c r="BB474" t="str">
        <f t="shared" si="23"/>
        <v xml:space="preserve">N162AM  </v>
      </c>
      <c r="BC474">
        <v>1</v>
      </c>
      <c r="BE474">
        <v>0</v>
      </c>
      <c r="BF474">
        <v>0</v>
      </c>
      <c r="BG474">
        <v>0</v>
      </c>
      <c r="BH474">
        <v>1850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>"14:44:36.526"</f>
        <v>14:44:36.526</v>
      </c>
      <c r="CJ474">
        <v>3</v>
      </c>
      <c r="CK474">
        <v>2</v>
      </c>
      <c r="CL474">
        <v>0</v>
      </c>
      <c r="CM474">
        <v>2</v>
      </c>
      <c r="CN474">
        <v>0</v>
      </c>
      <c r="CO474">
        <v>6</v>
      </c>
      <c r="CP474" t="s">
        <v>119</v>
      </c>
      <c r="CQ474">
        <v>232</v>
      </c>
      <c r="CR474">
        <v>2</v>
      </c>
      <c r="CW474">
        <v>6200138</v>
      </c>
      <c r="CY474">
        <v>1</v>
      </c>
      <c r="CZ474">
        <v>0</v>
      </c>
      <c r="DA474">
        <v>0</v>
      </c>
      <c r="DB474">
        <v>0</v>
      </c>
      <c r="DC474">
        <v>0</v>
      </c>
      <c r="DD474">
        <v>1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"12/16/2021 14:44:36.787"</f>
        <v>12/16/2021 14:44:36.787</v>
      </c>
      <c r="C475" t="str">
        <f t="shared" si="22"/>
        <v>FFDFD3C0</v>
      </c>
      <c r="D475" t="s">
        <v>113</v>
      </c>
      <c r="E475">
        <v>8</v>
      </c>
      <c r="H475">
        <v>176</v>
      </c>
      <c r="I475" t="s">
        <v>114</v>
      </c>
      <c r="J475" t="s">
        <v>115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"14:44:36.523"</f>
        <v>14:44:36.523</v>
      </c>
      <c r="T475" t="str">
        <f>"14:44:36.123"</f>
        <v>14:44:36.123</v>
      </c>
      <c r="U475" t="str">
        <f t="shared" si="21"/>
        <v>A0F928</v>
      </c>
      <c r="V475">
        <v>0</v>
      </c>
      <c r="W475">
        <v>0</v>
      </c>
      <c r="X475">
        <v>2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1</v>
      </c>
      <c r="AI475" t="s">
        <v>360</v>
      </c>
      <c r="AJ475">
        <v>35.807619000000003</v>
      </c>
      <c r="AK475" t="s">
        <v>361</v>
      </c>
      <c r="AL475">
        <v>-83.956059999999994</v>
      </c>
      <c r="AM475">
        <v>25</v>
      </c>
      <c r="AN475">
        <v>1575</v>
      </c>
      <c r="AO475" t="s">
        <v>118</v>
      </c>
      <c r="AP475">
        <v>93</v>
      </c>
      <c r="AQ475">
        <v>89</v>
      </c>
      <c r="AR475">
        <v>-192</v>
      </c>
      <c r="AZ475">
        <v>300</v>
      </c>
      <c r="BA475">
        <v>1</v>
      </c>
      <c r="BB475" t="str">
        <f t="shared" si="23"/>
        <v xml:space="preserve">N162AM  </v>
      </c>
      <c r="BC475">
        <v>1</v>
      </c>
      <c r="BE475">
        <v>0</v>
      </c>
      <c r="BF475">
        <v>0</v>
      </c>
      <c r="BG475">
        <v>0</v>
      </c>
      <c r="BH475">
        <v>1850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>"14:44:36.526"</f>
        <v>14:44:36.526</v>
      </c>
      <c r="CJ475">
        <v>3</v>
      </c>
      <c r="CK475">
        <v>2</v>
      </c>
      <c r="CL475">
        <v>0</v>
      </c>
      <c r="CM475">
        <v>2</v>
      </c>
      <c r="CN475">
        <v>0</v>
      </c>
      <c r="CO475">
        <v>6</v>
      </c>
      <c r="CP475" t="s">
        <v>119</v>
      </c>
      <c r="CQ475">
        <v>232</v>
      </c>
      <c r="CR475">
        <v>2</v>
      </c>
      <c r="CW475">
        <v>6200138</v>
      </c>
      <c r="CY475">
        <v>1</v>
      </c>
      <c r="CZ475">
        <v>0</v>
      </c>
      <c r="DA475">
        <v>1</v>
      </c>
      <c r="DB475">
        <v>0</v>
      </c>
      <c r="DC475">
        <v>0</v>
      </c>
      <c r="DD475">
        <v>1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"12/16/2021 14:44:36.787"</f>
        <v>12/16/2021 14:44:36.787</v>
      </c>
      <c r="C476" t="str">
        <f t="shared" si="22"/>
        <v>FFDFD3C0</v>
      </c>
      <c r="D476" t="s">
        <v>124</v>
      </c>
      <c r="E476">
        <v>10</v>
      </c>
      <c r="F476">
        <v>1010</v>
      </c>
      <c r="G476" t="s">
        <v>130</v>
      </c>
      <c r="J476" t="s">
        <v>125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"14:44:36.523"</f>
        <v>14:44:36.523</v>
      </c>
      <c r="T476" t="str">
        <f>"14:44:36.123"</f>
        <v>14:44:36.123</v>
      </c>
      <c r="U476" t="str">
        <f t="shared" si="21"/>
        <v>A0F928</v>
      </c>
      <c r="V476">
        <v>0</v>
      </c>
      <c r="W476">
        <v>0</v>
      </c>
      <c r="X476">
        <v>2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0</v>
      </c>
      <c r="AG476">
        <v>2</v>
      </c>
      <c r="AH476">
        <v>1</v>
      </c>
      <c r="AI476" t="s">
        <v>360</v>
      </c>
      <c r="AJ476">
        <v>35.807619000000003</v>
      </c>
      <c r="AK476" t="s">
        <v>361</v>
      </c>
      <c r="AL476">
        <v>-83.956059999999994</v>
      </c>
      <c r="AM476">
        <v>25</v>
      </c>
      <c r="AN476">
        <v>1575</v>
      </c>
      <c r="AO476" t="s">
        <v>118</v>
      </c>
      <c r="AP476">
        <v>93</v>
      </c>
      <c r="AQ476">
        <v>89</v>
      </c>
      <c r="AR476">
        <v>-192</v>
      </c>
      <c r="AZ476">
        <v>300</v>
      </c>
      <c r="BA476">
        <v>1</v>
      </c>
      <c r="BB476" t="str">
        <f t="shared" si="23"/>
        <v xml:space="preserve">N162AM  </v>
      </c>
      <c r="BC476">
        <v>1</v>
      </c>
      <c r="BE476">
        <v>0</v>
      </c>
      <c r="BF476">
        <v>0</v>
      </c>
      <c r="BG476">
        <v>0</v>
      </c>
      <c r="BH476">
        <v>1850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>"14:44:36.526"</f>
        <v>14:44:36.526</v>
      </c>
      <c r="CJ476">
        <v>2</v>
      </c>
      <c r="CK476">
        <v>2</v>
      </c>
      <c r="CL476">
        <v>0</v>
      </c>
      <c r="CM476">
        <v>2</v>
      </c>
      <c r="CN476">
        <v>0</v>
      </c>
      <c r="CO476">
        <v>6</v>
      </c>
      <c r="CP476" t="s">
        <v>119</v>
      </c>
      <c r="CQ476">
        <v>232</v>
      </c>
      <c r="CR476">
        <v>2</v>
      </c>
      <c r="CW476">
        <v>6200138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1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"12/16/2021 14:44:36.787"</f>
        <v>12/16/2021 14:44:36.787</v>
      </c>
      <c r="C477" t="str">
        <f t="shared" si="22"/>
        <v>FFDFD3C0</v>
      </c>
      <c r="D477" t="s">
        <v>133</v>
      </c>
      <c r="E477">
        <v>44</v>
      </c>
      <c r="H477">
        <v>131</v>
      </c>
      <c r="I477" t="s">
        <v>134</v>
      </c>
      <c r="J477" t="s">
        <v>135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"14:44:36.523"</f>
        <v>14:44:36.523</v>
      </c>
      <c r="T477" t="str">
        <f>"14:44:36.123"</f>
        <v>14:44:36.123</v>
      </c>
      <c r="U477" t="str">
        <f t="shared" si="21"/>
        <v>A0F928</v>
      </c>
      <c r="V477">
        <v>0</v>
      </c>
      <c r="W477">
        <v>0</v>
      </c>
      <c r="X477">
        <v>2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1</v>
      </c>
      <c r="AI477" t="s">
        <v>360</v>
      </c>
      <c r="AJ477">
        <v>35.807619000000003</v>
      </c>
      <c r="AK477" t="s">
        <v>361</v>
      </c>
      <c r="AL477">
        <v>-83.956059999999994</v>
      </c>
      <c r="AM477">
        <v>25</v>
      </c>
      <c r="AN477">
        <v>1575</v>
      </c>
      <c r="AO477" t="s">
        <v>118</v>
      </c>
      <c r="AP477">
        <v>93</v>
      </c>
      <c r="AQ477">
        <v>89</v>
      </c>
      <c r="AR477">
        <v>-192</v>
      </c>
      <c r="AZ477">
        <v>300</v>
      </c>
      <c r="BA477">
        <v>1</v>
      </c>
      <c r="BB477" t="str">
        <f t="shared" si="23"/>
        <v xml:space="preserve">N162AM  </v>
      </c>
      <c r="BC477">
        <v>1</v>
      </c>
      <c r="BE477">
        <v>0</v>
      </c>
      <c r="BF477">
        <v>0</v>
      </c>
      <c r="BG477">
        <v>0</v>
      </c>
      <c r="BH477">
        <v>1850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>"14:44:36.526"</f>
        <v>14:44:36.526</v>
      </c>
      <c r="CJ477">
        <v>3</v>
      </c>
      <c r="CK477">
        <v>2</v>
      </c>
      <c r="CL477">
        <v>0</v>
      </c>
      <c r="CM477">
        <v>2</v>
      </c>
      <c r="CN477">
        <v>0</v>
      </c>
      <c r="CO477">
        <v>6</v>
      </c>
      <c r="CP477" t="s">
        <v>119</v>
      </c>
      <c r="CQ477">
        <v>232</v>
      </c>
      <c r="CR477">
        <v>2</v>
      </c>
      <c r="CW477">
        <v>6200138</v>
      </c>
      <c r="CY477">
        <v>1</v>
      </c>
      <c r="CZ477">
        <v>0</v>
      </c>
      <c r="DA477">
        <v>0</v>
      </c>
      <c r="DB477">
        <v>0</v>
      </c>
      <c r="DC477">
        <v>0</v>
      </c>
      <c r="DD477">
        <v>1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"12/16/2021 14:44:37.709"</f>
        <v>12/16/2021 14:44:37.709</v>
      </c>
      <c r="C478" t="str">
        <f t="shared" si="22"/>
        <v>FFDFD3C0</v>
      </c>
      <c r="D478" t="s">
        <v>124</v>
      </c>
      <c r="E478">
        <v>10</v>
      </c>
      <c r="F478">
        <v>1010</v>
      </c>
      <c r="G478" t="s">
        <v>130</v>
      </c>
      <c r="J478" t="s">
        <v>125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"14:44:37.484"</f>
        <v>14:44:37.484</v>
      </c>
      <c r="T478" t="str">
        <f>"14:44:37.084"</f>
        <v>14:44:37.084</v>
      </c>
      <c r="U478" t="str">
        <f t="shared" si="21"/>
        <v>A0F928</v>
      </c>
      <c r="V478">
        <v>0</v>
      </c>
      <c r="W478">
        <v>0</v>
      </c>
      <c r="X478">
        <v>2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0</v>
      </c>
      <c r="AG478">
        <v>2</v>
      </c>
      <c r="AH478">
        <v>1</v>
      </c>
      <c r="AI478" t="s">
        <v>362</v>
      </c>
      <c r="AJ478">
        <v>35.808027000000003</v>
      </c>
      <c r="AK478" t="s">
        <v>363</v>
      </c>
      <c r="AL478">
        <v>-83.955523999999997</v>
      </c>
      <c r="AM478">
        <v>25</v>
      </c>
      <c r="AN478">
        <v>1575</v>
      </c>
      <c r="AO478" t="s">
        <v>118</v>
      </c>
      <c r="AP478">
        <v>93</v>
      </c>
      <c r="AQ478">
        <v>88</v>
      </c>
      <c r="AR478">
        <v>-128</v>
      </c>
      <c r="AZ478">
        <v>300</v>
      </c>
      <c r="BA478">
        <v>1</v>
      </c>
      <c r="BB478" t="str">
        <f t="shared" si="23"/>
        <v xml:space="preserve">N162AM  </v>
      </c>
      <c r="BC478">
        <v>1</v>
      </c>
      <c r="BE478">
        <v>0</v>
      </c>
      <c r="BF478">
        <v>0</v>
      </c>
      <c r="BG478">
        <v>0</v>
      </c>
      <c r="BH478">
        <v>1825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>"14:44:37.485"</f>
        <v>14:44:37.485</v>
      </c>
      <c r="CJ478">
        <v>2</v>
      </c>
      <c r="CK478">
        <v>2</v>
      </c>
      <c r="CL478">
        <v>0</v>
      </c>
      <c r="CM478">
        <v>2</v>
      </c>
      <c r="CN478">
        <v>0</v>
      </c>
      <c r="CO478">
        <v>6</v>
      </c>
      <c r="CP478" t="s">
        <v>119</v>
      </c>
      <c r="CQ478">
        <v>232</v>
      </c>
      <c r="CR478">
        <v>1</v>
      </c>
      <c r="CW478">
        <v>15004730</v>
      </c>
      <c r="CY478">
        <v>1</v>
      </c>
      <c r="CZ478">
        <v>0</v>
      </c>
      <c r="DA478">
        <v>0</v>
      </c>
      <c r="DB478">
        <v>0</v>
      </c>
      <c r="DC478">
        <v>0</v>
      </c>
      <c r="DD478">
        <v>1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"12/16/2021 14:44:37.709"</f>
        <v>12/16/2021 14:44:37.709</v>
      </c>
      <c r="C479" t="str">
        <f t="shared" si="22"/>
        <v>FFDFD3C0</v>
      </c>
      <c r="D479" t="s">
        <v>113</v>
      </c>
      <c r="E479">
        <v>8</v>
      </c>
      <c r="H479">
        <v>176</v>
      </c>
      <c r="I479" t="s">
        <v>114</v>
      </c>
      <c r="J479" t="s">
        <v>115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"14:44:37.484"</f>
        <v>14:44:37.484</v>
      </c>
      <c r="T479" t="str">
        <f>"14:44:37.084"</f>
        <v>14:44:37.084</v>
      </c>
      <c r="U479" t="str">
        <f t="shared" si="21"/>
        <v>A0F928</v>
      </c>
      <c r="V479">
        <v>0</v>
      </c>
      <c r="W479">
        <v>0</v>
      </c>
      <c r="X479">
        <v>2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1</v>
      </c>
      <c r="AI479" t="s">
        <v>362</v>
      </c>
      <c r="AJ479">
        <v>35.808027000000003</v>
      </c>
      <c r="AK479" t="s">
        <v>363</v>
      </c>
      <c r="AL479">
        <v>-83.955523999999997</v>
      </c>
      <c r="AM479">
        <v>25</v>
      </c>
      <c r="AN479">
        <v>1575</v>
      </c>
      <c r="AO479" t="s">
        <v>118</v>
      </c>
      <c r="AP479">
        <v>93</v>
      </c>
      <c r="AQ479">
        <v>88</v>
      </c>
      <c r="AR479">
        <v>-128</v>
      </c>
      <c r="AZ479">
        <v>300</v>
      </c>
      <c r="BA479">
        <v>1</v>
      </c>
      <c r="BB479" t="str">
        <f t="shared" si="23"/>
        <v xml:space="preserve">N162AM  </v>
      </c>
      <c r="BC479">
        <v>1</v>
      </c>
      <c r="BE479">
        <v>0</v>
      </c>
      <c r="BF479">
        <v>0</v>
      </c>
      <c r="BG479">
        <v>0</v>
      </c>
      <c r="BH479">
        <v>1825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>"14:44:37.485"</f>
        <v>14:44:37.485</v>
      </c>
      <c r="CJ479">
        <v>3</v>
      </c>
      <c r="CK479">
        <v>2</v>
      </c>
      <c r="CL479">
        <v>0</v>
      </c>
      <c r="CM479">
        <v>2</v>
      </c>
      <c r="CN479">
        <v>0</v>
      </c>
      <c r="CO479">
        <v>6</v>
      </c>
      <c r="CP479" t="s">
        <v>119</v>
      </c>
      <c r="CQ479">
        <v>232</v>
      </c>
      <c r="CR479">
        <v>1</v>
      </c>
      <c r="CW479">
        <v>15004730</v>
      </c>
      <c r="CY479">
        <v>1</v>
      </c>
      <c r="CZ479">
        <v>0</v>
      </c>
      <c r="DA479">
        <v>1</v>
      </c>
      <c r="DB479">
        <v>0</v>
      </c>
      <c r="DC479">
        <v>0</v>
      </c>
      <c r="DD479">
        <v>1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"12/16/2021 14:44:37.709"</f>
        <v>12/16/2021 14:44:37.709</v>
      </c>
      <c r="C480" t="str">
        <f t="shared" si="22"/>
        <v>FFDFD3C0</v>
      </c>
      <c r="D480" t="s">
        <v>133</v>
      </c>
      <c r="E480">
        <v>44</v>
      </c>
      <c r="H480">
        <v>131</v>
      </c>
      <c r="I480" t="s">
        <v>134</v>
      </c>
      <c r="J480" t="s">
        <v>135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"14:44:37.484"</f>
        <v>14:44:37.484</v>
      </c>
      <c r="T480" t="str">
        <f>"14:44:37.084"</f>
        <v>14:44:37.084</v>
      </c>
      <c r="U480" t="str">
        <f t="shared" si="21"/>
        <v>A0F928</v>
      </c>
      <c r="V480">
        <v>0</v>
      </c>
      <c r="W480">
        <v>0</v>
      </c>
      <c r="X480">
        <v>2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1</v>
      </c>
      <c r="AI480" t="s">
        <v>362</v>
      </c>
      <c r="AJ480">
        <v>35.808027000000003</v>
      </c>
      <c r="AK480" t="s">
        <v>363</v>
      </c>
      <c r="AL480">
        <v>-83.955523999999997</v>
      </c>
      <c r="AM480">
        <v>25</v>
      </c>
      <c r="AN480">
        <v>1575</v>
      </c>
      <c r="AO480" t="s">
        <v>118</v>
      </c>
      <c r="AP480">
        <v>93</v>
      </c>
      <c r="AQ480">
        <v>88</v>
      </c>
      <c r="AR480">
        <v>-128</v>
      </c>
      <c r="AZ480">
        <v>300</v>
      </c>
      <c r="BA480">
        <v>1</v>
      </c>
      <c r="BB480" t="str">
        <f t="shared" si="23"/>
        <v xml:space="preserve">N162AM  </v>
      </c>
      <c r="BC480">
        <v>1</v>
      </c>
      <c r="BE480">
        <v>0</v>
      </c>
      <c r="BF480">
        <v>0</v>
      </c>
      <c r="BG480">
        <v>0</v>
      </c>
      <c r="BH480">
        <v>1825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>"14:44:37.485"</f>
        <v>14:44:37.485</v>
      </c>
      <c r="CJ480">
        <v>3</v>
      </c>
      <c r="CK480">
        <v>2</v>
      </c>
      <c r="CL480">
        <v>0</v>
      </c>
      <c r="CM480">
        <v>2</v>
      </c>
      <c r="CN480">
        <v>0</v>
      </c>
      <c r="CO480">
        <v>6</v>
      </c>
      <c r="CP480" t="s">
        <v>119</v>
      </c>
      <c r="CQ480">
        <v>232</v>
      </c>
      <c r="CR480">
        <v>1</v>
      </c>
      <c r="CW480">
        <v>15004730</v>
      </c>
      <c r="CY480">
        <v>1</v>
      </c>
      <c r="CZ480">
        <v>0</v>
      </c>
      <c r="DA480">
        <v>1</v>
      </c>
      <c r="DB480">
        <v>0</v>
      </c>
      <c r="DC480">
        <v>0</v>
      </c>
      <c r="DD480">
        <v>1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"12/16/2021 14:44:37.709"</f>
        <v>12/16/2021 14:44:37.709</v>
      </c>
      <c r="C481" t="str">
        <f t="shared" si="22"/>
        <v>FFDFD3C0</v>
      </c>
      <c r="D481" t="s">
        <v>124</v>
      </c>
      <c r="E481">
        <v>5</v>
      </c>
      <c r="F481">
        <v>1005</v>
      </c>
      <c r="G481" t="s">
        <v>114</v>
      </c>
      <c r="J481" t="s">
        <v>125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"14:44:37.484"</f>
        <v>14:44:37.484</v>
      </c>
      <c r="T481" t="str">
        <f>"14:44:37.084"</f>
        <v>14:44:37.084</v>
      </c>
      <c r="U481" t="str">
        <f t="shared" si="21"/>
        <v>A0F928</v>
      </c>
      <c r="V481">
        <v>0</v>
      </c>
      <c r="W481">
        <v>0</v>
      </c>
      <c r="X481">
        <v>2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1</v>
      </c>
      <c r="AI481" t="s">
        <v>362</v>
      </c>
      <c r="AJ481">
        <v>35.808027000000003</v>
      </c>
      <c r="AK481" t="s">
        <v>363</v>
      </c>
      <c r="AL481">
        <v>-83.955523999999997</v>
      </c>
      <c r="AM481">
        <v>25</v>
      </c>
      <c r="AN481">
        <v>1575</v>
      </c>
      <c r="AO481" t="s">
        <v>118</v>
      </c>
      <c r="AP481">
        <v>93</v>
      </c>
      <c r="AQ481">
        <v>88</v>
      </c>
      <c r="AR481">
        <v>-128</v>
      </c>
      <c r="AZ481">
        <v>300</v>
      </c>
      <c r="BA481">
        <v>1</v>
      </c>
      <c r="BB481" t="str">
        <f t="shared" si="23"/>
        <v xml:space="preserve">N162AM  </v>
      </c>
      <c r="BC481">
        <v>1</v>
      </c>
      <c r="BE481">
        <v>0</v>
      </c>
      <c r="BF481">
        <v>0</v>
      </c>
      <c r="BG481">
        <v>0</v>
      </c>
      <c r="BH481">
        <v>1825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>"14:44:37.485"</f>
        <v>14:44:37.485</v>
      </c>
      <c r="CJ481">
        <v>3</v>
      </c>
      <c r="CK481">
        <v>2</v>
      </c>
      <c r="CL481">
        <v>0</v>
      </c>
      <c r="CM481">
        <v>2</v>
      </c>
      <c r="CN481">
        <v>0</v>
      </c>
      <c r="CO481">
        <v>6</v>
      </c>
      <c r="CP481" t="s">
        <v>119</v>
      </c>
      <c r="CQ481">
        <v>232</v>
      </c>
      <c r="CR481">
        <v>1</v>
      </c>
      <c r="CW481">
        <v>15004730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1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"12/16/2021 14:44:38.771"</f>
        <v>12/16/2021 14:44:38.771</v>
      </c>
      <c r="C482" t="str">
        <f t="shared" si="22"/>
        <v>FFDFD3C0</v>
      </c>
      <c r="D482" t="s">
        <v>124</v>
      </c>
      <c r="E482">
        <v>10</v>
      </c>
      <c r="F482">
        <v>1010</v>
      </c>
      <c r="G482" t="s">
        <v>130</v>
      </c>
      <c r="J482" t="s">
        <v>125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"14:44:38.563"</f>
        <v>14:44:38.563</v>
      </c>
      <c r="T482" t="str">
        <f>"14:44:38.063"</f>
        <v>14:44:38.063</v>
      </c>
      <c r="U482" t="str">
        <f t="shared" si="21"/>
        <v>A0F928</v>
      </c>
      <c r="V482">
        <v>0</v>
      </c>
      <c r="W482">
        <v>0</v>
      </c>
      <c r="X482">
        <v>2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0</v>
      </c>
      <c r="AG482">
        <v>2</v>
      </c>
      <c r="AH482">
        <v>1</v>
      </c>
      <c r="AI482" t="s">
        <v>364</v>
      </c>
      <c r="AJ482">
        <v>35.808477000000003</v>
      </c>
      <c r="AK482" t="s">
        <v>365</v>
      </c>
      <c r="AL482">
        <v>-83.954944999999995</v>
      </c>
      <c r="AM482">
        <v>25</v>
      </c>
      <c r="AN482">
        <v>1575</v>
      </c>
      <c r="AO482" t="s">
        <v>118</v>
      </c>
      <c r="AP482">
        <v>93</v>
      </c>
      <c r="AQ482">
        <v>87</v>
      </c>
      <c r="AR482">
        <v>-128</v>
      </c>
      <c r="AZ482">
        <v>300</v>
      </c>
      <c r="BA482">
        <v>1</v>
      </c>
      <c r="BB482" t="str">
        <f t="shared" si="23"/>
        <v xml:space="preserve">N162AM  </v>
      </c>
      <c r="BC482">
        <v>1</v>
      </c>
      <c r="BE482">
        <v>0</v>
      </c>
      <c r="BF482">
        <v>0</v>
      </c>
      <c r="BG482">
        <v>0</v>
      </c>
      <c r="BH482">
        <v>1825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>"14:44:38.566"</f>
        <v>14:44:38.566</v>
      </c>
      <c r="CJ482">
        <v>2</v>
      </c>
      <c r="CK482">
        <v>2</v>
      </c>
      <c r="CL482">
        <v>0</v>
      </c>
      <c r="CM482">
        <v>2</v>
      </c>
      <c r="CN482">
        <v>0</v>
      </c>
      <c r="CO482">
        <v>6</v>
      </c>
      <c r="CP482" t="s">
        <v>119</v>
      </c>
      <c r="CQ482">
        <v>232</v>
      </c>
      <c r="CR482">
        <v>2</v>
      </c>
      <c r="CW482">
        <v>6203257</v>
      </c>
      <c r="CY482">
        <v>1</v>
      </c>
      <c r="CZ482">
        <v>0</v>
      </c>
      <c r="DA482">
        <v>0</v>
      </c>
      <c r="DB482">
        <v>0</v>
      </c>
      <c r="DC482">
        <v>0</v>
      </c>
      <c r="DD482">
        <v>1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"12/16/2021 14:44:38.834"</f>
        <v>12/16/2021 14:44:38.834</v>
      </c>
      <c r="C483" t="str">
        <f t="shared" si="22"/>
        <v>FFDFD3C0</v>
      </c>
      <c r="D483" t="s">
        <v>113</v>
      </c>
      <c r="E483">
        <v>8</v>
      </c>
      <c r="H483">
        <v>176</v>
      </c>
      <c r="I483" t="s">
        <v>114</v>
      </c>
      <c r="J483" t="s">
        <v>115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"14:44:38.563"</f>
        <v>14:44:38.563</v>
      </c>
      <c r="T483" t="str">
        <f>"14:44:38.063"</f>
        <v>14:44:38.063</v>
      </c>
      <c r="U483" t="str">
        <f t="shared" si="21"/>
        <v>A0F928</v>
      </c>
      <c r="V483">
        <v>0</v>
      </c>
      <c r="W483">
        <v>0</v>
      </c>
      <c r="X483">
        <v>2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1</v>
      </c>
      <c r="AI483" t="s">
        <v>364</v>
      </c>
      <c r="AJ483">
        <v>35.808477000000003</v>
      </c>
      <c r="AK483" t="s">
        <v>365</v>
      </c>
      <c r="AL483">
        <v>-83.954944999999995</v>
      </c>
      <c r="AM483">
        <v>25</v>
      </c>
      <c r="AN483">
        <v>1575</v>
      </c>
      <c r="AO483" t="s">
        <v>118</v>
      </c>
      <c r="AP483">
        <v>93</v>
      </c>
      <c r="AQ483">
        <v>87</v>
      </c>
      <c r="AR483">
        <v>-128</v>
      </c>
      <c r="AZ483">
        <v>300</v>
      </c>
      <c r="BA483">
        <v>1</v>
      </c>
      <c r="BB483" t="str">
        <f t="shared" si="23"/>
        <v xml:space="preserve">N162AM  </v>
      </c>
      <c r="BC483">
        <v>1</v>
      </c>
      <c r="BE483">
        <v>0</v>
      </c>
      <c r="BF483">
        <v>0</v>
      </c>
      <c r="BG483">
        <v>0</v>
      </c>
      <c r="BH483">
        <v>1825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>"14:44:38.566"</f>
        <v>14:44:38.566</v>
      </c>
      <c r="CJ483">
        <v>3</v>
      </c>
      <c r="CK483">
        <v>2</v>
      </c>
      <c r="CL483">
        <v>0</v>
      </c>
      <c r="CM483">
        <v>2</v>
      </c>
      <c r="CN483">
        <v>0</v>
      </c>
      <c r="CO483">
        <v>6</v>
      </c>
      <c r="CP483" t="s">
        <v>119</v>
      </c>
      <c r="CQ483">
        <v>232</v>
      </c>
      <c r="CR483">
        <v>2</v>
      </c>
      <c r="CW483">
        <v>6203257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1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"12/16/2021 14:44:38.850"</f>
        <v>12/16/2021 14:44:38.850</v>
      </c>
      <c r="C484" t="str">
        <f t="shared" si="22"/>
        <v>FFDFD3C0</v>
      </c>
      <c r="D484" t="s">
        <v>133</v>
      </c>
      <c r="E484">
        <v>44</v>
      </c>
      <c r="H484">
        <v>131</v>
      </c>
      <c r="I484" t="s">
        <v>134</v>
      </c>
      <c r="J484" t="s">
        <v>135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"14:44:38.563"</f>
        <v>14:44:38.563</v>
      </c>
      <c r="T484" t="str">
        <f>"14:44:38.063"</f>
        <v>14:44:38.063</v>
      </c>
      <c r="U484" t="str">
        <f t="shared" si="21"/>
        <v>A0F928</v>
      </c>
      <c r="V484">
        <v>0</v>
      </c>
      <c r="W484">
        <v>0</v>
      </c>
      <c r="X484">
        <v>2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1</v>
      </c>
      <c r="AI484" t="s">
        <v>364</v>
      </c>
      <c r="AJ484">
        <v>35.808477000000003</v>
      </c>
      <c r="AK484" t="s">
        <v>365</v>
      </c>
      <c r="AL484">
        <v>-83.954944999999995</v>
      </c>
      <c r="AM484">
        <v>25</v>
      </c>
      <c r="AN484">
        <v>1575</v>
      </c>
      <c r="AO484" t="s">
        <v>118</v>
      </c>
      <c r="AP484">
        <v>93</v>
      </c>
      <c r="AQ484">
        <v>87</v>
      </c>
      <c r="AR484">
        <v>-128</v>
      </c>
      <c r="AZ484">
        <v>300</v>
      </c>
      <c r="BA484">
        <v>1</v>
      </c>
      <c r="BB484" t="str">
        <f t="shared" si="23"/>
        <v xml:space="preserve">N162AM  </v>
      </c>
      <c r="BC484">
        <v>1</v>
      </c>
      <c r="BE484">
        <v>0</v>
      </c>
      <c r="BF484">
        <v>0</v>
      </c>
      <c r="BG484">
        <v>0</v>
      </c>
      <c r="BH484">
        <v>1825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>"14:44:38.566"</f>
        <v>14:44:38.566</v>
      </c>
      <c r="CJ484">
        <v>3</v>
      </c>
      <c r="CK484">
        <v>2</v>
      </c>
      <c r="CL484">
        <v>0</v>
      </c>
      <c r="CM484">
        <v>2</v>
      </c>
      <c r="CN484">
        <v>0</v>
      </c>
      <c r="CO484">
        <v>6</v>
      </c>
      <c r="CP484" t="s">
        <v>119</v>
      </c>
      <c r="CQ484">
        <v>232</v>
      </c>
      <c r="CR484">
        <v>2</v>
      </c>
      <c r="CW484">
        <v>6203257</v>
      </c>
      <c r="CY484">
        <v>1</v>
      </c>
      <c r="CZ484">
        <v>0</v>
      </c>
      <c r="DA484">
        <v>1</v>
      </c>
      <c r="DB484">
        <v>0</v>
      </c>
      <c r="DC484">
        <v>0</v>
      </c>
      <c r="DD484">
        <v>1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"12/16/2021 14:44:38.850"</f>
        <v>12/16/2021 14:44:38.850</v>
      </c>
      <c r="C485" t="str">
        <f t="shared" si="22"/>
        <v>FFDFD3C0</v>
      </c>
      <c r="D485" t="s">
        <v>124</v>
      </c>
      <c r="E485">
        <v>5</v>
      </c>
      <c r="F485">
        <v>1005</v>
      </c>
      <c r="G485" t="s">
        <v>114</v>
      </c>
      <c r="J485" t="s">
        <v>125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"14:44:38.563"</f>
        <v>14:44:38.563</v>
      </c>
      <c r="T485" t="str">
        <f>"14:44:38.063"</f>
        <v>14:44:38.063</v>
      </c>
      <c r="U485" t="str">
        <f t="shared" si="21"/>
        <v>A0F928</v>
      </c>
      <c r="V485">
        <v>0</v>
      </c>
      <c r="W485">
        <v>0</v>
      </c>
      <c r="X485">
        <v>2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1</v>
      </c>
      <c r="AI485" t="s">
        <v>364</v>
      </c>
      <c r="AJ485">
        <v>35.808477000000003</v>
      </c>
      <c r="AK485" t="s">
        <v>365</v>
      </c>
      <c r="AL485">
        <v>-83.954944999999995</v>
      </c>
      <c r="AM485">
        <v>25</v>
      </c>
      <c r="AN485">
        <v>1575</v>
      </c>
      <c r="AO485" t="s">
        <v>118</v>
      </c>
      <c r="AP485">
        <v>93</v>
      </c>
      <c r="AQ485">
        <v>87</v>
      </c>
      <c r="AR485">
        <v>-128</v>
      </c>
      <c r="AZ485">
        <v>300</v>
      </c>
      <c r="BA485">
        <v>1</v>
      </c>
      <c r="BB485" t="str">
        <f t="shared" si="23"/>
        <v xml:space="preserve">N162AM  </v>
      </c>
      <c r="BC485">
        <v>1</v>
      </c>
      <c r="BE485">
        <v>0</v>
      </c>
      <c r="BF485">
        <v>0</v>
      </c>
      <c r="BG485">
        <v>0</v>
      </c>
      <c r="BH485">
        <v>1825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>"14:44:38.566"</f>
        <v>14:44:38.566</v>
      </c>
      <c r="CJ485">
        <v>3</v>
      </c>
      <c r="CK485">
        <v>2</v>
      </c>
      <c r="CL485">
        <v>0</v>
      </c>
      <c r="CM485">
        <v>2</v>
      </c>
      <c r="CN485">
        <v>0</v>
      </c>
      <c r="CO485">
        <v>6</v>
      </c>
      <c r="CP485" t="s">
        <v>119</v>
      </c>
      <c r="CQ485">
        <v>232</v>
      </c>
      <c r="CR485">
        <v>2</v>
      </c>
      <c r="CW485">
        <v>6203257</v>
      </c>
      <c r="CY485">
        <v>1</v>
      </c>
      <c r="CZ485">
        <v>0</v>
      </c>
      <c r="DA485">
        <v>1</v>
      </c>
      <c r="DB485">
        <v>0</v>
      </c>
      <c r="DC485">
        <v>0</v>
      </c>
      <c r="DD485">
        <v>1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"12/16/2021 14:44:39.740"</f>
        <v>12/16/2021 14:44:39.740</v>
      </c>
      <c r="C486" t="str">
        <f t="shared" si="22"/>
        <v>FFDFD3C0</v>
      </c>
      <c r="D486" t="s">
        <v>133</v>
      </c>
      <c r="E486">
        <v>44</v>
      </c>
      <c r="H486">
        <v>131</v>
      </c>
      <c r="I486" t="s">
        <v>134</v>
      </c>
      <c r="J486" t="s">
        <v>135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"14:44:39.492"</f>
        <v>14:44:39.492</v>
      </c>
      <c r="T486" t="str">
        <f>"14:44:39.092"</f>
        <v>14:44:39.092</v>
      </c>
      <c r="U486" t="str">
        <f t="shared" si="21"/>
        <v>A0F928</v>
      </c>
      <c r="V486">
        <v>0</v>
      </c>
      <c r="W486">
        <v>0</v>
      </c>
      <c r="X486">
        <v>2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1</v>
      </c>
      <c r="AI486" t="s">
        <v>366</v>
      </c>
      <c r="AJ486">
        <v>35.808821000000002</v>
      </c>
      <c r="AK486" t="s">
        <v>367</v>
      </c>
      <c r="AL486">
        <v>-83.954472999999993</v>
      </c>
      <c r="AM486">
        <v>25</v>
      </c>
      <c r="AN486">
        <v>1575</v>
      </c>
      <c r="AO486" t="s">
        <v>118</v>
      </c>
      <c r="AP486">
        <v>93</v>
      </c>
      <c r="AQ486">
        <v>86</v>
      </c>
      <c r="AR486">
        <v>-128</v>
      </c>
      <c r="AZ486">
        <v>300</v>
      </c>
      <c r="BA486">
        <v>1</v>
      </c>
      <c r="BB486" t="str">
        <f t="shared" si="23"/>
        <v xml:space="preserve">N162AM  </v>
      </c>
      <c r="BC486">
        <v>1</v>
      </c>
      <c r="BE486">
        <v>0</v>
      </c>
      <c r="BF486">
        <v>0</v>
      </c>
      <c r="BG486">
        <v>0</v>
      </c>
      <c r="BH486">
        <v>1825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>"14:44:39.497"</f>
        <v>14:44:39.497</v>
      </c>
      <c r="CJ486">
        <v>3</v>
      </c>
      <c r="CK486">
        <v>2</v>
      </c>
      <c r="CL486">
        <v>0</v>
      </c>
      <c r="CM486">
        <v>2</v>
      </c>
      <c r="CN486">
        <v>0</v>
      </c>
      <c r="CO486">
        <v>6</v>
      </c>
      <c r="CP486" t="s">
        <v>119</v>
      </c>
      <c r="CQ486">
        <v>232</v>
      </c>
      <c r="CR486">
        <v>1</v>
      </c>
      <c r="CW486">
        <v>15007901</v>
      </c>
      <c r="CY486">
        <v>1</v>
      </c>
      <c r="CZ486">
        <v>0</v>
      </c>
      <c r="DA486">
        <v>0</v>
      </c>
      <c r="DB486">
        <v>0</v>
      </c>
      <c r="DC486">
        <v>0</v>
      </c>
      <c r="DD486">
        <v>1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"12/16/2021 14:44:39.740"</f>
        <v>12/16/2021 14:44:39.740</v>
      </c>
      <c r="C487" t="str">
        <f t="shared" si="22"/>
        <v>FFDFD3C0</v>
      </c>
      <c r="D487" t="s">
        <v>124</v>
      </c>
      <c r="E487">
        <v>10</v>
      </c>
      <c r="F487">
        <v>1010</v>
      </c>
      <c r="G487" t="s">
        <v>130</v>
      </c>
      <c r="J487" t="s">
        <v>125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"14:44:39.492"</f>
        <v>14:44:39.492</v>
      </c>
      <c r="T487" t="str">
        <f>"14:44:39.092"</f>
        <v>14:44:39.092</v>
      </c>
      <c r="U487" t="str">
        <f t="shared" si="21"/>
        <v>A0F928</v>
      </c>
      <c r="V487">
        <v>0</v>
      </c>
      <c r="W487">
        <v>0</v>
      </c>
      <c r="X487">
        <v>2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0</v>
      </c>
      <c r="AG487">
        <v>2</v>
      </c>
      <c r="AH487">
        <v>1</v>
      </c>
      <c r="AI487" t="s">
        <v>366</v>
      </c>
      <c r="AJ487">
        <v>35.808821000000002</v>
      </c>
      <c r="AK487" t="s">
        <v>367</v>
      </c>
      <c r="AL487">
        <v>-83.954472999999993</v>
      </c>
      <c r="AM487">
        <v>25</v>
      </c>
      <c r="AN487">
        <v>1575</v>
      </c>
      <c r="AO487" t="s">
        <v>118</v>
      </c>
      <c r="AP487">
        <v>93</v>
      </c>
      <c r="AQ487">
        <v>86</v>
      </c>
      <c r="AR487">
        <v>-128</v>
      </c>
      <c r="AZ487">
        <v>300</v>
      </c>
      <c r="BA487">
        <v>1</v>
      </c>
      <c r="BB487" t="str">
        <f t="shared" si="23"/>
        <v xml:space="preserve">N162AM  </v>
      </c>
      <c r="BC487">
        <v>1</v>
      </c>
      <c r="BE487">
        <v>0</v>
      </c>
      <c r="BF487">
        <v>0</v>
      </c>
      <c r="BG487">
        <v>0</v>
      </c>
      <c r="BH487">
        <v>1825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>"14:44:39.497"</f>
        <v>14:44:39.497</v>
      </c>
      <c r="CJ487">
        <v>2</v>
      </c>
      <c r="CK487">
        <v>2</v>
      </c>
      <c r="CL487">
        <v>0</v>
      </c>
      <c r="CM487">
        <v>2</v>
      </c>
      <c r="CN487">
        <v>0</v>
      </c>
      <c r="CO487">
        <v>6</v>
      </c>
      <c r="CP487" t="s">
        <v>119</v>
      </c>
      <c r="CQ487">
        <v>232</v>
      </c>
      <c r="CR487">
        <v>1</v>
      </c>
      <c r="CW487">
        <v>15007901</v>
      </c>
      <c r="CY487">
        <v>1</v>
      </c>
      <c r="CZ487">
        <v>0</v>
      </c>
      <c r="DA487">
        <v>1</v>
      </c>
      <c r="DB487">
        <v>0</v>
      </c>
      <c r="DC487">
        <v>0</v>
      </c>
      <c r="DD487">
        <v>1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"12/16/2021 14:44:39.740"</f>
        <v>12/16/2021 14:44:39.740</v>
      </c>
      <c r="C488" t="str">
        <f t="shared" si="22"/>
        <v>FFDFD3C0</v>
      </c>
      <c r="D488" t="s">
        <v>124</v>
      </c>
      <c r="E488">
        <v>5</v>
      </c>
      <c r="F488">
        <v>1005</v>
      </c>
      <c r="G488" t="s">
        <v>114</v>
      </c>
      <c r="J488" t="s">
        <v>125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"14:44:39.492"</f>
        <v>14:44:39.492</v>
      </c>
      <c r="T488" t="str">
        <f>"14:44:39.092"</f>
        <v>14:44:39.092</v>
      </c>
      <c r="U488" t="str">
        <f t="shared" si="21"/>
        <v>A0F928</v>
      </c>
      <c r="V488">
        <v>0</v>
      </c>
      <c r="W488">
        <v>0</v>
      </c>
      <c r="X488">
        <v>2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1</v>
      </c>
      <c r="AI488" t="s">
        <v>366</v>
      </c>
      <c r="AJ488">
        <v>35.808821000000002</v>
      </c>
      <c r="AK488" t="s">
        <v>367</v>
      </c>
      <c r="AL488">
        <v>-83.954472999999993</v>
      </c>
      <c r="AM488">
        <v>25</v>
      </c>
      <c r="AN488">
        <v>1575</v>
      </c>
      <c r="AO488" t="s">
        <v>118</v>
      </c>
      <c r="AP488">
        <v>93</v>
      </c>
      <c r="AQ488">
        <v>86</v>
      </c>
      <c r="AR488">
        <v>-128</v>
      </c>
      <c r="AZ488">
        <v>300</v>
      </c>
      <c r="BA488">
        <v>1</v>
      </c>
      <c r="BB488" t="str">
        <f t="shared" si="23"/>
        <v xml:space="preserve">N162AM  </v>
      </c>
      <c r="BC488">
        <v>1</v>
      </c>
      <c r="BE488">
        <v>0</v>
      </c>
      <c r="BF488">
        <v>0</v>
      </c>
      <c r="BG488">
        <v>0</v>
      </c>
      <c r="BH488">
        <v>1825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>"14:44:39.497"</f>
        <v>14:44:39.497</v>
      </c>
      <c r="CJ488">
        <v>3</v>
      </c>
      <c r="CK488">
        <v>2</v>
      </c>
      <c r="CL488">
        <v>0</v>
      </c>
      <c r="CM488">
        <v>2</v>
      </c>
      <c r="CN488">
        <v>0</v>
      </c>
      <c r="CO488">
        <v>6</v>
      </c>
      <c r="CP488" t="s">
        <v>119</v>
      </c>
      <c r="CQ488">
        <v>232</v>
      </c>
      <c r="CR488">
        <v>1</v>
      </c>
      <c r="CW488">
        <v>15007901</v>
      </c>
      <c r="CY488">
        <v>1</v>
      </c>
      <c r="CZ488">
        <v>0</v>
      </c>
      <c r="DA488">
        <v>1</v>
      </c>
      <c r="DB488">
        <v>0</v>
      </c>
      <c r="DC488">
        <v>0</v>
      </c>
      <c r="DD488">
        <v>1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"12/16/2021 14:44:39.771"</f>
        <v>12/16/2021 14:44:39.771</v>
      </c>
      <c r="C489" t="str">
        <f t="shared" si="22"/>
        <v>FFDFD3C0</v>
      </c>
      <c r="D489" t="s">
        <v>113</v>
      </c>
      <c r="E489">
        <v>8</v>
      </c>
      <c r="H489">
        <v>176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"14:44:39.492"</f>
        <v>14:44:39.492</v>
      </c>
      <c r="T489" t="str">
        <f>"14:44:39.092"</f>
        <v>14:44:39.092</v>
      </c>
      <c r="U489" t="str">
        <f t="shared" si="21"/>
        <v>A0F928</v>
      </c>
      <c r="V489">
        <v>0</v>
      </c>
      <c r="W489">
        <v>0</v>
      </c>
      <c r="X489">
        <v>2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1</v>
      </c>
      <c r="AI489" t="s">
        <v>366</v>
      </c>
      <c r="AJ489">
        <v>35.808821000000002</v>
      </c>
      <c r="AK489" t="s">
        <v>367</v>
      </c>
      <c r="AL489">
        <v>-83.954472999999993</v>
      </c>
      <c r="AM489">
        <v>25</v>
      </c>
      <c r="AN489">
        <v>1575</v>
      </c>
      <c r="AO489" t="s">
        <v>118</v>
      </c>
      <c r="AP489">
        <v>93</v>
      </c>
      <c r="AQ489">
        <v>86</v>
      </c>
      <c r="AR489">
        <v>-128</v>
      </c>
      <c r="AZ489">
        <v>300</v>
      </c>
      <c r="BA489">
        <v>1</v>
      </c>
      <c r="BB489" t="str">
        <f t="shared" si="23"/>
        <v xml:space="preserve">N162AM  </v>
      </c>
      <c r="BC489">
        <v>1</v>
      </c>
      <c r="BE489">
        <v>0</v>
      </c>
      <c r="BF489">
        <v>0</v>
      </c>
      <c r="BG489">
        <v>0</v>
      </c>
      <c r="BH489">
        <v>1825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>"14:44:39.497"</f>
        <v>14:44:39.497</v>
      </c>
      <c r="CJ489">
        <v>3</v>
      </c>
      <c r="CK489">
        <v>2</v>
      </c>
      <c r="CL489">
        <v>0</v>
      </c>
      <c r="CM489">
        <v>2</v>
      </c>
      <c r="CN489">
        <v>0</v>
      </c>
      <c r="CO489">
        <v>6</v>
      </c>
      <c r="CP489" t="s">
        <v>119</v>
      </c>
      <c r="CQ489">
        <v>232</v>
      </c>
      <c r="CR489">
        <v>1</v>
      </c>
      <c r="CW489">
        <v>15007901</v>
      </c>
      <c r="CY489">
        <v>1</v>
      </c>
      <c r="CZ489">
        <v>0</v>
      </c>
      <c r="DA489">
        <v>1</v>
      </c>
      <c r="DB489">
        <v>0</v>
      </c>
      <c r="DC489">
        <v>0</v>
      </c>
      <c r="DD489">
        <v>1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"12/16/2021 14:44:40.834"</f>
        <v>12/16/2021 14:44:40.834</v>
      </c>
      <c r="C490" t="str">
        <f t="shared" si="22"/>
        <v>FFDFD3C0</v>
      </c>
      <c r="D490" t="s">
        <v>124</v>
      </c>
      <c r="E490">
        <v>10</v>
      </c>
      <c r="F490">
        <v>1010</v>
      </c>
      <c r="G490" t="s">
        <v>130</v>
      </c>
      <c r="J490" t="s">
        <v>125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"14:44:40.602"</f>
        <v>14:44:40.602</v>
      </c>
      <c r="T490" t="str">
        <f>"14:44:40.102"</f>
        <v>14:44:40.102</v>
      </c>
      <c r="U490" t="str">
        <f t="shared" si="21"/>
        <v>A0F928</v>
      </c>
      <c r="V490">
        <v>0</v>
      </c>
      <c r="W490">
        <v>0</v>
      </c>
      <c r="X490">
        <v>2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0</v>
      </c>
      <c r="AG490">
        <v>2</v>
      </c>
      <c r="AH490">
        <v>1</v>
      </c>
      <c r="AI490" t="s">
        <v>368</v>
      </c>
      <c r="AJ490">
        <v>35.809249999999999</v>
      </c>
      <c r="AK490" t="s">
        <v>369</v>
      </c>
      <c r="AL490">
        <v>-83.953914999999995</v>
      </c>
      <c r="AM490">
        <v>25</v>
      </c>
      <c r="AN490">
        <v>1575</v>
      </c>
      <c r="AO490" t="s">
        <v>118</v>
      </c>
      <c r="AP490">
        <v>93</v>
      </c>
      <c r="AQ490">
        <v>86</v>
      </c>
      <c r="AR490">
        <v>-128</v>
      </c>
      <c r="AZ490">
        <v>300</v>
      </c>
      <c r="BA490">
        <v>1</v>
      </c>
      <c r="BB490" t="str">
        <f t="shared" si="23"/>
        <v xml:space="preserve">N162AM  </v>
      </c>
      <c r="BC490">
        <v>1</v>
      </c>
      <c r="BE490">
        <v>0</v>
      </c>
      <c r="BF490">
        <v>0</v>
      </c>
      <c r="BG490">
        <v>0</v>
      </c>
      <c r="BH490">
        <v>1850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>"14:44:40.606"</f>
        <v>14:44:40.606</v>
      </c>
      <c r="CJ490">
        <v>2</v>
      </c>
      <c r="CK490">
        <v>2</v>
      </c>
      <c r="CL490">
        <v>0</v>
      </c>
      <c r="CM490">
        <v>2</v>
      </c>
      <c r="CN490">
        <v>0</v>
      </c>
      <c r="CO490">
        <v>7</v>
      </c>
      <c r="CP490" t="s">
        <v>119</v>
      </c>
      <c r="CQ490">
        <v>232</v>
      </c>
      <c r="CR490">
        <v>1</v>
      </c>
      <c r="CW490">
        <v>15009757</v>
      </c>
      <c r="CY490">
        <v>1</v>
      </c>
      <c r="CZ490">
        <v>0</v>
      </c>
      <c r="DA490">
        <v>0</v>
      </c>
      <c r="DB490">
        <v>0</v>
      </c>
      <c r="DC490">
        <v>0</v>
      </c>
      <c r="DD490">
        <v>1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"12/16/2021 14:44:40.834"</f>
        <v>12/16/2021 14:44:40.834</v>
      </c>
      <c r="C491" t="str">
        <f t="shared" si="22"/>
        <v>FFDFD3C0</v>
      </c>
      <c r="D491" t="s">
        <v>113</v>
      </c>
      <c r="E491">
        <v>8</v>
      </c>
      <c r="H491">
        <v>176</v>
      </c>
      <c r="I491" t="s">
        <v>114</v>
      </c>
      <c r="J491" t="s">
        <v>115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"14:44:40.602"</f>
        <v>14:44:40.602</v>
      </c>
      <c r="T491" t="str">
        <f>"14:44:40.102"</f>
        <v>14:44:40.102</v>
      </c>
      <c r="U491" t="str">
        <f t="shared" si="21"/>
        <v>A0F928</v>
      </c>
      <c r="V491">
        <v>0</v>
      </c>
      <c r="W491">
        <v>0</v>
      </c>
      <c r="X491">
        <v>2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1</v>
      </c>
      <c r="AI491" t="s">
        <v>368</v>
      </c>
      <c r="AJ491">
        <v>35.809249999999999</v>
      </c>
      <c r="AK491" t="s">
        <v>369</v>
      </c>
      <c r="AL491">
        <v>-83.953914999999995</v>
      </c>
      <c r="AM491">
        <v>25</v>
      </c>
      <c r="AN491">
        <v>1575</v>
      </c>
      <c r="AO491" t="s">
        <v>118</v>
      </c>
      <c r="AP491">
        <v>93</v>
      </c>
      <c r="AQ491">
        <v>86</v>
      </c>
      <c r="AR491">
        <v>-128</v>
      </c>
      <c r="AZ491">
        <v>300</v>
      </c>
      <c r="BA491">
        <v>1</v>
      </c>
      <c r="BB491" t="str">
        <f t="shared" si="23"/>
        <v xml:space="preserve">N162AM  </v>
      </c>
      <c r="BC491">
        <v>1</v>
      </c>
      <c r="BE491">
        <v>0</v>
      </c>
      <c r="BF491">
        <v>0</v>
      </c>
      <c r="BG491">
        <v>0</v>
      </c>
      <c r="BH491">
        <v>1850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>"14:44:40.606"</f>
        <v>14:44:40.606</v>
      </c>
      <c r="CJ491">
        <v>3</v>
      </c>
      <c r="CK491">
        <v>2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232</v>
      </c>
      <c r="CR491">
        <v>1</v>
      </c>
      <c r="CW491">
        <v>15009757</v>
      </c>
      <c r="CY491">
        <v>1</v>
      </c>
      <c r="CZ491">
        <v>0</v>
      </c>
      <c r="DA491">
        <v>1</v>
      </c>
      <c r="DB491">
        <v>0</v>
      </c>
      <c r="DC491">
        <v>0</v>
      </c>
      <c r="DD491">
        <v>1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"12/16/2021 14:44:40.834"</f>
        <v>12/16/2021 14:44:40.834</v>
      </c>
      <c r="C492" t="str">
        <f t="shared" si="22"/>
        <v>FFDFD3C0</v>
      </c>
      <c r="D492" t="s">
        <v>133</v>
      </c>
      <c r="E492">
        <v>44</v>
      </c>
      <c r="H492">
        <v>131</v>
      </c>
      <c r="I492" t="s">
        <v>134</v>
      </c>
      <c r="J492" t="s">
        <v>135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"14:44:40.602"</f>
        <v>14:44:40.602</v>
      </c>
      <c r="T492" t="str">
        <f>"14:44:40.102"</f>
        <v>14:44:40.102</v>
      </c>
      <c r="U492" t="str">
        <f t="shared" si="21"/>
        <v>A0F928</v>
      </c>
      <c r="V492">
        <v>0</v>
      </c>
      <c r="W492">
        <v>0</v>
      </c>
      <c r="X492">
        <v>2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1</v>
      </c>
      <c r="AI492" t="s">
        <v>368</v>
      </c>
      <c r="AJ492">
        <v>35.809249999999999</v>
      </c>
      <c r="AK492" t="s">
        <v>369</v>
      </c>
      <c r="AL492">
        <v>-83.953914999999995</v>
      </c>
      <c r="AM492">
        <v>25</v>
      </c>
      <c r="AN492">
        <v>1575</v>
      </c>
      <c r="AO492" t="s">
        <v>118</v>
      </c>
      <c r="AP492">
        <v>93</v>
      </c>
      <c r="AQ492">
        <v>86</v>
      </c>
      <c r="AR492">
        <v>-128</v>
      </c>
      <c r="AZ492">
        <v>300</v>
      </c>
      <c r="BA492">
        <v>1</v>
      </c>
      <c r="BB492" t="str">
        <f t="shared" si="23"/>
        <v xml:space="preserve">N162AM  </v>
      </c>
      <c r="BC492">
        <v>1</v>
      </c>
      <c r="BE492">
        <v>0</v>
      </c>
      <c r="BF492">
        <v>0</v>
      </c>
      <c r="BG492">
        <v>0</v>
      </c>
      <c r="BH492">
        <v>1850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>"14:44:40.606"</f>
        <v>14:44:40.606</v>
      </c>
      <c r="CJ492">
        <v>3</v>
      </c>
      <c r="CK492">
        <v>2</v>
      </c>
      <c r="CL492">
        <v>0</v>
      </c>
      <c r="CM492">
        <v>2</v>
      </c>
      <c r="CN492">
        <v>0</v>
      </c>
      <c r="CO492">
        <v>7</v>
      </c>
      <c r="CP492" t="s">
        <v>119</v>
      </c>
      <c r="CQ492">
        <v>232</v>
      </c>
      <c r="CR492">
        <v>1</v>
      </c>
      <c r="CW492">
        <v>15009757</v>
      </c>
      <c r="CY492">
        <v>1</v>
      </c>
      <c r="CZ492">
        <v>0</v>
      </c>
      <c r="DA492">
        <v>1</v>
      </c>
      <c r="DB492">
        <v>0</v>
      </c>
      <c r="DC492">
        <v>0</v>
      </c>
      <c r="DD492">
        <v>1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"12/16/2021 14:44:40.834"</f>
        <v>12/16/2021 14:44:40.834</v>
      </c>
      <c r="C493" t="str">
        <f t="shared" si="22"/>
        <v>FFDFD3C0</v>
      </c>
      <c r="D493" t="s">
        <v>124</v>
      </c>
      <c r="E493">
        <v>5</v>
      </c>
      <c r="F493">
        <v>1005</v>
      </c>
      <c r="G493" t="s">
        <v>114</v>
      </c>
      <c r="J493" t="s">
        <v>125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"14:44:40.602"</f>
        <v>14:44:40.602</v>
      </c>
      <c r="T493" t="str">
        <f>"14:44:40.102"</f>
        <v>14:44:40.102</v>
      </c>
      <c r="U493" t="str">
        <f t="shared" si="21"/>
        <v>A0F928</v>
      </c>
      <c r="V493">
        <v>0</v>
      </c>
      <c r="W493">
        <v>0</v>
      </c>
      <c r="X493">
        <v>2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1</v>
      </c>
      <c r="AI493" t="s">
        <v>368</v>
      </c>
      <c r="AJ493">
        <v>35.809249999999999</v>
      </c>
      <c r="AK493" t="s">
        <v>369</v>
      </c>
      <c r="AL493">
        <v>-83.953914999999995</v>
      </c>
      <c r="AM493">
        <v>25</v>
      </c>
      <c r="AN493">
        <v>1575</v>
      </c>
      <c r="AO493" t="s">
        <v>118</v>
      </c>
      <c r="AP493">
        <v>93</v>
      </c>
      <c r="AQ493">
        <v>86</v>
      </c>
      <c r="AR493">
        <v>-128</v>
      </c>
      <c r="AZ493">
        <v>300</v>
      </c>
      <c r="BA493">
        <v>1</v>
      </c>
      <c r="BB493" t="str">
        <f t="shared" si="23"/>
        <v xml:space="preserve">N162AM  </v>
      </c>
      <c r="BC493">
        <v>1</v>
      </c>
      <c r="BE493">
        <v>0</v>
      </c>
      <c r="BF493">
        <v>0</v>
      </c>
      <c r="BG493">
        <v>0</v>
      </c>
      <c r="BH493">
        <v>1850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>"14:44:40.606"</f>
        <v>14:44:40.606</v>
      </c>
      <c r="CJ493">
        <v>3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119</v>
      </c>
      <c r="CQ493">
        <v>232</v>
      </c>
      <c r="CR493">
        <v>1</v>
      </c>
      <c r="CW493">
        <v>15009757</v>
      </c>
      <c r="CY493">
        <v>1</v>
      </c>
      <c r="CZ493">
        <v>0</v>
      </c>
      <c r="DA493">
        <v>1</v>
      </c>
      <c r="DB493">
        <v>0</v>
      </c>
      <c r="DC493">
        <v>0</v>
      </c>
      <c r="DD493">
        <v>1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"12/16/2021 14:44:41.834"</f>
        <v>12/16/2021 14:44:41.834</v>
      </c>
      <c r="C494" t="str">
        <f t="shared" si="22"/>
        <v>FFDFD3C0</v>
      </c>
      <c r="D494" t="s">
        <v>133</v>
      </c>
      <c r="E494">
        <v>44</v>
      </c>
      <c r="H494">
        <v>131</v>
      </c>
      <c r="I494" t="s">
        <v>134</v>
      </c>
      <c r="J494" t="s">
        <v>135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"14:44:41.617"</f>
        <v>14:44:41.617</v>
      </c>
      <c r="T494" t="str">
        <f>"14:44:41.117"</f>
        <v>14:44:41.117</v>
      </c>
      <c r="U494" t="str">
        <f t="shared" si="21"/>
        <v>A0F928</v>
      </c>
      <c r="V494">
        <v>0</v>
      </c>
      <c r="W494">
        <v>0</v>
      </c>
      <c r="X494">
        <v>2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1</v>
      </c>
      <c r="AI494" t="s">
        <v>370</v>
      </c>
      <c r="AJ494">
        <v>35.809657999999999</v>
      </c>
      <c r="AK494" t="s">
        <v>371</v>
      </c>
      <c r="AL494">
        <v>-83.953334999999996</v>
      </c>
      <c r="AM494">
        <v>25</v>
      </c>
      <c r="AN494">
        <v>1575</v>
      </c>
      <c r="AO494" t="s">
        <v>118</v>
      </c>
      <c r="AP494">
        <v>93</v>
      </c>
      <c r="AQ494">
        <v>85</v>
      </c>
      <c r="AR494">
        <v>-128</v>
      </c>
      <c r="AZ494">
        <v>300</v>
      </c>
      <c r="BA494">
        <v>1</v>
      </c>
      <c r="BB494" t="str">
        <f t="shared" si="23"/>
        <v xml:space="preserve">N162AM  </v>
      </c>
      <c r="BC494">
        <v>1</v>
      </c>
      <c r="BE494">
        <v>0</v>
      </c>
      <c r="BF494">
        <v>0</v>
      </c>
      <c r="BG494">
        <v>0</v>
      </c>
      <c r="BH494">
        <v>1850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>"14:44:41.625"</f>
        <v>14:44:41.625</v>
      </c>
      <c r="CJ494">
        <v>3</v>
      </c>
      <c r="CK494">
        <v>2</v>
      </c>
      <c r="CL494">
        <v>0</v>
      </c>
      <c r="CM494">
        <v>2</v>
      </c>
      <c r="CN494">
        <v>0</v>
      </c>
      <c r="CO494">
        <v>6</v>
      </c>
      <c r="CP494" t="s">
        <v>119</v>
      </c>
      <c r="CQ494">
        <v>232</v>
      </c>
      <c r="CR494">
        <v>1</v>
      </c>
      <c r="CW494">
        <v>15011363</v>
      </c>
      <c r="CY494">
        <v>1</v>
      </c>
      <c r="CZ494">
        <v>0</v>
      </c>
      <c r="DA494">
        <v>0</v>
      </c>
      <c r="DB494">
        <v>0</v>
      </c>
      <c r="DC494">
        <v>0</v>
      </c>
      <c r="DD494">
        <v>1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"12/16/2021 14:44:41.834"</f>
        <v>12/16/2021 14:44:41.834</v>
      </c>
      <c r="C495" t="str">
        <f t="shared" si="22"/>
        <v>FFDFD3C0</v>
      </c>
      <c r="D495" t="s">
        <v>124</v>
      </c>
      <c r="E495">
        <v>10</v>
      </c>
      <c r="F495">
        <v>1010</v>
      </c>
      <c r="G495" t="s">
        <v>130</v>
      </c>
      <c r="J495" t="s">
        <v>125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"14:44:41.617"</f>
        <v>14:44:41.617</v>
      </c>
      <c r="T495" t="str">
        <f>"14:44:41.117"</f>
        <v>14:44:41.117</v>
      </c>
      <c r="U495" t="str">
        <f t="shared" si="21"/>
        <v>A0F928</v>
      </c>
      <c r="V495">
        <v>0</v>
      </c>
      <c r="W495">
        <v>0</v>
      </c>
      <c r="X495">
        <v>2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0</v>
      </c>
      <c r="AG495">
        <v>2</v>
      </c>
      <c r="AH495">
        <v>1</v>
      </c>
      <c r="AI495" t="s">
        <v>370</v>
      </c>
      <c r="AJ495">
        <v>35.809657999999999</v>
      </c>
      <c r="AK495" t="s">
        <v>371</v>
      </c>
      <c r="AL495">
        <v>-83.953334999999996</v>
      </c>
      <c r="AM495">
        <v>25</v>
      </c>
      <c r="AN495">
        <v>1575</v>
      </c>
      <c r="AO495" t="s">
        <v>118</v>
      </c>
      <c r="AP495">
        <v>93</v>
      </c>
      <c r="AQ495">
        <v>85</v>
      </c>
      <c r="AR495">
        <v>-128</v>
      </c>
      <c r="AZ495">
        <v>300</v>
      </c>
      <c r="BA495">
        <v>1</v>
      </c>
      <c r="BB495" t="str">
        <f t="shared" si="23"/>
        <v xml:space="preserve">N162AM  </v>
      </c>
      <c r="BC495">
        <v>1</v>
      </c>
      <c r="BE495">
        <v>0</v>
      </c>
      <c r="BF495">
        <v>0</v>
      </c>
      <c r="BG495">
        <v>0</v>
      </c>
      <c r="BH495">
        <v>1850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>"14:44:41.625"</f>
        <v>14:44:41.625</v>
      </c>
      <c r="CJ495">
        <v>2</v>
      </c>
      <c r="CK495">
        <v>2</v>
      </c>
      <c r="CL495">
        <v>0</v>
      </c>
      <c r="CM495">
        <v>2</v>
      </c>
      <c r="CN495">
        <v>0</v>
      </c>
      <c r="CO495">
        <v>6</v>
      </c>
      <c r="CP495" t="s">
        <v>119</v>
      </c>
      <c r="CQ495">
        <v>232</v>
      </c>
      <c r="CR495">
        <v>1</v>
      </c>
      <c r="CW495">
        <v>15011363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1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"12/16/2021 14:44:41.865"</f>
        <v>12/16/2021 14:44:41.865</v>
      </c>
      <c r="C496" t="str">
        <f t="shared" si="22"/>
        <v>FFDFD3C0</v>
      </c>
      <c r="D496" t="s">
        <v>113</v>
      </c>
      <c r="E496">
        <v>8</v>
      </c>
      <c r="H496">
        <v>176</v>
      </c>
      <c r="I496" t="s">
        <v>114</v>
      </c>
      <c r="J496" t="s">
        <v>115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"14:44:41.617"</f>
        <v>14:44:41.617</v>
      </c>
      <c r="T496" t="str">
        <f>"14:44:41.117"</f>
        <v>14:44:41.117</v>
      </c>
      <c r="U496" t="str">
        <f t="shared" si="21"/>
        <v>A0F928</v>
      </c>
      <c r="V496">
        <v>0</v>
      </c>
      <c r="W496">
        <v>0</v>
      </c>
      <c r="X496">
        <v>2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1</v>
      </c>
      <c r="AI496" t="s">
        <v>370</v>
      </c>
      <c r="AJ496">
        <v>35.809657999999999</v>
      </c>
      <c r="AK496" t="s">
        <v>371</v>
      </c>
      <c r="AL496">
        <v>-83.953334999999996</v>
      </c>
      <c r="AM496">
        <v>25</v>
      </c>
      <c r="AN496">
        <v>1575</v>
      </c>
      <c r="AO496" t="s">
        <v>118</v>
      </c>
      <c r="AP496">
        <v>93</v>
      </c>
      <c r="AQ496">
        <v>85</v>
      </c>
      <c r="AR496">
        <v>-128</v>
      </c>
      <c r="AZ496">
        <v>300</v>
      </c>
      <c r="BA496">
        <v>1</v>
      </c>
      <c r="BB496" t="str">
        <f t="shared" si="23"/>
        <v xml:space="preserve">N162AM  </v>
      </c>
      <c r="BC496">
        <v>1</v>
      </c>
      <c r="BE496">
        <v>0</v>
      </c>
      <c r="BF496">
        <v>0</v>
      </c>
      <c r="BG496">
        <v>0</v>
      </c>
      <c r="BH496">
        <v>1850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>"14:44:41.625"</f>
        <v>14:44:41.625</v>
      </c>
      <c r="CJ496">
        <v>3</v>
      </c>
      <c r="CK496">
        <v>2</v>
      </c>
      <c r="CL496">
        <v>0</v>
      </c>
      <c r="CM496">
        <v>2</v>
      </c>
      <c r="CN496">
        <v>0</v>
      </c>
      <c r="CO496">
        <v>6</v>
      </c>
      <c r="CP496" t="s">
        <v>119</v>
      </c>
      <c r="CQ496">
        <v>232</v>
      </c>
      <c r="CR496">
        <v>1</v>
      </c>
      <c r="CW496">
        <v>15011363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1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"12/16/2021 14:44:41.928"</f>
        <v>12/16/2021 14:44:41.928</v>
      </c>
      <c r="C497" t="str">
        <f t="shared" si="22"/>
        <v>FFDFD3C0</v>
      </c>
      <c r="D497" t="s">
        <v>124</v>
      </c>
      <c r="E497">
        <v>5</v>
      </c>
      <c r="F497">
        <v>1005</v>
      </c>
      <c r="G497" t="s">
        <v>114</v>
      </c>
      <c r="J497" t="s">
        <v>125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"14:44:41.617"</f>
        <v>14:44:41.617</v>
      </c>
      <c r="T497" t="str">
        <f>"14:44:41.117"</f>
        <v>14:44:41.117</v>
      </c>
      <c r="U497" t="str">
        <f t="shared" si="21"/>
        <v>A0F928</v>
      </c>
      <c r="V497">
        <v>0</v>
      </c>
      <c r="W497">
        <v>0</v>
      </c>
      <c r="X497">
        <v>2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1</v>
      </c>
      <c r="AI497" t="s">
        <v>370</v>
      </c>
      <c r="AJ497">
        <v>35.809657999999999</v>
      </c>
      <c r="AK497" t="s">
        <v>371</v>
      </c>
      <c r="AL497">
        <v>-83.953334999999996</v>
      </c>
      <c r="AM497">
        <v>25</v>
      </c>
      <c r="AN497">
        <v>1575</v>
      </c>
      <c r="AO497" t="s">
        <v>118</v>
      </c>
      <c r="AP497">
        <v>93</v>
      </c>
      <c r="AQ497">
        <v>85</v>
      </c>
      <c r="AR497">
        <v>-128</v>
      </c>
      <c r="AZ497">
        <v>300</v>
      </c>
      <c r="BA497">
        <v>1</v>
      </c>
      <c r="BB497" t="str">
        <f t="shared" si="23"/>
        <v xml:space="preserve">N162AM  </v>
      </c>
      <c r="BC497">
        <v>1</v>
      </c>
      <c r="BE497">
        <v>0</v>
      </c>
      <c r="BF497">
        <v>0</v>
      </c>
      <c r="BG497">
        <v>0</v>
      </c>
      <c r="BH497">
        <v>1850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>"14:44:41.625"</f>
        <v>14:44:41.625</v>
      </c>
      <c r="CJ497">
        <v>3</v>
      </c>
      <c r="CK497">
        <v>2</v>
      </c>
      <c r="CL497">
        <v>0</v>
      </c>
      <c r="CM497">
        <v>2</v>
      </c>
      <c r="CN497">
        <v>0</v>
      </c>
      <c r="CO497">
        <v>6</v>
      </c>
      <c r="CP497" t="s">
        <v>119</v>
      </c>
      <c r="CQ497">
        <v>232</v>
      </c>
      <c r="CR497">
        <v>1</v>
      </c>
      <c r="CW497">
        <v>15011363</v>
      </c>
      <c r="CY497">
        <v>1</v>
      </c>
      <c r="CZ497">
        <v>0</v>
      </c>
      <c r="DA497">
        <v>1</v>
      </c>
      <c r="DB497">
        <v>0</v>
      </c>
      <c r="DC497">
        <v>0</v>
      </c>
      <c r="DD497">
        <v>1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"12/16/2021 14:44:42.834"</f>
        <v>12/16/2021 14:44:42.834</v>
      </c>
      <c r="C498" t="str">
        <f t="shared" si="22"/>
        <v>FFDFD3C0</v>
      </c>
      <c r="D498" t="s">
        <v>113</v>
      </c>
      <c r="E498">
        <v>8</v>
      </c>
      <c r="H498">
        <v>176</v>
      </c>
      <c r="I498" t="s">
        <v>114</v>
      </c>
      <c r="J498" t="s">
        <v>115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"14:44:42.617"</f>
        <v>14:44:42.617</v>
      </c>
      <c r="T498" t="str">
        <f>"14:44:42.217"</f>
        <v>14:44:42.217</v>
      </c>
      <c r="U498" t="str">
        <f t="shared" si="21"/>
        <v>A0F928</v>
      </c>
      <c r="V498">
        <v>0</v>
      </c>
      <c r="W498">
        <v>0</v>
      </c>
      <c r="X498">
        <v>2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1</v>
      </c>
      <c r="AI498" t="s">
        <v>372</v>
      </c>
      <c r="AJ498">
        <v>35.810021999999996</v>
      </c>
      <c r="AK498" t="s">
        <v>373</v>
      </c>
      <c r="AL498">
        <v>-83.952820000000003</v>
      </c>
      <c r="AM498">
        <v>25</v>
      </c>
      <c r="AN498">
        <v>1575</v>
      </c>
      <c r="AO498" t="s">
        <v>118</v>
      </c>
      <c r="AP498">
        <v>93</v>
      </c>
      <c r="AQ498">
        <v>84</v>
      </c>
      <c r="AR498">
        <v>-128</v>
      </c>
      <c r="AZ498">
        <v>300</v>
      </c>
      <c r="BA498">
        <v>1</v>
      </c>
      <c r="BB498" t="str">
        <f t="shared" si="23"/>
        <v xml:space="preserve">N162AM  </v>
      </c>
      <c r="BC498">
        <v>1</v>
      </c>
      <c r="BE498">
        <v>0</v>
      </c>
      <c r="BF498">
        <v>0</v>
      </c>
      <c r="BG498">
        <v>0</v>
      </c>
      <c r="BH498">
        <v>1850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>"14:44:42.624"</f>
        <v>14:44:42.624</v>
      </c>
      <c r="CJ498">
        <v>3</v>
      </c>
      <c r="CK498">
        <v>2</v>
      </c>
      <c r="CL498">
        <v>0</v>
      </c>
      <c r="CM498">
        <v>2</v>
      </c>
      <c r="CN498">
        <v>0</v>
      </c>
      <c r="CO498">
        <v>6</v>
      </c>
      <c r="CP498" t="s">
        <v>119</v>
      </c>
      <c r="CQ498">
        <v>232</v>
      </c>
      <c r="CR498">
        <v>2</v>
      </c>
      <c r="CW498">
        <v>6209567</v>
      </c>
      <c r="CY498">
        <v>1</v>
      </c>
      <c r="CZ498">
        <v>0</v>
      </c>
      <c r="DA498">
        <v>0</v>
      </c>
      <c r="DB498">
        <v>0</v>
      </c>
      <c r="DC498">
        <v>0</v>
      </c>
      <c r="DD498">
        <v>1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"12/16/2021 14:44:42.834"</f>
        <v>12/16/2021 14:44:42.834</v>
      </c>
      <c r="C499" t="str">
        <f t="shared" si="22"/>
        <v>FFDFD3C0</v>
      </c>
      <c r="D499" t="s">
        <v>124</v>
      </c>
      <c r="E499">
        <v>5</v>
      </c>
      <c r="F499">
        <v>1005</v>
      </c>
      <c r="G499" t="s">
        <v>114</v>
      </c>
      <c r="J499" t="s">
        <v>125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"14:44:42.617"</f>
        <v>14:44:42.617</v>
      </c>
      <c r="T499" t="str">
        <f>"14:44:42.217"</f>
        <v>14:44:42.217</v>
      </c>
      <c r="U499" t="str">
        <f t="shared" si="21"/>
        <v>A0F928</v>
      </c>
      <c r="V499">
        <v>0</v>
      </c>
      <c r="W499">
        <v>0</v>
      </c>
      <c r="X499">
        <v>2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1</v>
      </c>
      <c r="AI499" t="s">
        <v>372</v>
      </c>
      <c r="AJ499">
        <v>35.810021999999996</v>
      </c>
      <c r="AK499" t="s">
        <v>373</v>
      </c>
      <c r="AL499">
        <v>-83.952820000000003</v>
      </c>
      <c r="AM499">
        <v>25</v>
      </c>
      <c r="AN499">
        <v>1575</v>
      </c>
      <c r="AO499" t="s">
        <v>118</v>
      </c>
      <c r="AP499">
        <v>93</v>
      </c>
      <c r="AQ499">
        <v>84</v>
      </c>
      <c r="AR499">
        <v>-128</v>
      </c>
      <c r="AZ499">
        <v>300</v>
      </c>
      <c r="BA499">
        <v>1</v>
      </c>
      <c r="BB499" t="str">
        <f t="shared" si="23"/>
        <v xml:space="preserve">N162AM  </v>
      </c>
      <c r="BC499">
        <v>1</v>
      </c>
      <c r="BE499">
        <v>0</v>
      </c>
      <c r="BF499">
        <v>0</v>
      </c>
      <c r="BG499">
        <v>0</v>
      </c>
      <c r="BH499">
        <v>1850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>"14:44:42.624"</f>
        <v>14:44:42.624</v>
      </c>
      <c r="CJ499">
        <v>3</v>
      </c>
      <c r="CK499">
        <v>2</v>
      </c>
      <c r="CL499">
        <v>0</v>
      </c>
      <c r="CM499">
        <v>2</v>
      </c>
      <c r="CN499">
        <v>0</v>
      </c>
      <c r="CO499">
        <v>6</v>
      </c>
      <c r="CP499" t="s">
        <v>119</v>
      </c>
      <c r="CQ499">
        <v>232</v>
      </c>
      <c r="CR499">
        <v>2</v>
      </c>
      <c r="CW499">
        <v>6209567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1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"12/16/2021 14:44:42.850"</f>
        <v>12/16/2021 14:44:42.850</v>
      </c>
      <c r="C500" t="str">
        <f t="shared" si="22"/>
        <v>FFDFD3C0</v>
      </c>
      <c r="D500" t="s">
        <v>124</v>
      </c>
      <c r="E500">
        <v>10</v>
      </c>
      <c r="F500">
        <v>1010</v>
      </c>
      <c r="G500" t="s">
        <v>130</v>
      </c>
      <c r="J500" t="s">
        <v>125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"14:44:42.617"</f>
        <v>14:44:42.617</v>
      </c>
      <c r="T500" t="str">
        <f>"14:44:42.217"</f>
        <v>14:44:42.217</v>
      </c>
      <c r="U500" t="str">
        <f t="shared" si="21"/>
        <v>A0F928</v>
      </c>
      <c r="V500">
        <v>0</v>
      </c>
      <c r="W500">
        <v>0</v>
      </c>
      <c r="X500">
        <v>2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0</v>
      </c>
      <c r="AG500">
        <v>2</v>
      </c>
      <c r="AH500">
        <v>1</v>
      </c>
      <c r="AI500" t="s">
        <v>372</v>
      </c>
      <c r="AJ500">
        <v>35.810021999999996</v>
      </c>
      <c r="AK500" t="s">
        <v>373</v>
      </c>
      <c r="AL500">
        <v>-83.952820000000003</v>
      </c>
      <c r="AM500">
        <v>25</v>
      </c>
      <c r="AN500">
        <v>1575</v>
      </c>
      <c r="AO500" t="s">
        <v>118</v>
      </c>
      <c r="AP500">
        <v>93</v>
      </c>
      <c r="AQ500">
        <v>84</v>
      </c>
      <c r="AR500">
        <v>-128</v>
      </c>
      <c r="AZ500">
        <v>300</v>
      </c>
      <c r="BA500">
        <v>1</v>
      </c>
      <c r="BB500" t="str">
        <f t="shared" si="23"/>
        <v xml:space="preserve">N162AM  </v>
      </c>
      <c r="BC500">
        <v>1</v>
      </c>
      <c r="BE500">
        <v>0</v>
      </c>
      <c r="BF500">
        <v>0</v>
      </c>
      <c r="BG500">
        <v>0</v>
      </c>
      <c r="BH500">
        <v>1850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>"14:44:42.624"</f>
        <v>14:44:42.624</v>
      </c>
      <c r="CJ500">
        <v>2</v>
      </c>
      <c r="CK500">
        <v>2</v>
      </c>
      <c r="CL500">
        <v>0</v>
      </c>
      <c r="CM500">
        <v>2</v>
      </c>
      <c r="CN500">
        <v>0</v>
      </c>
      <c r="CO500">
        <v>6</v>
      </c>
      <c r="CP500" t="s">
        <v>119</v>
      </c>
      <c r="CQ500">
        <v>232</v>
      </c>
      <c r="CR500">
        <v>2</v>
      </c>
      <c r="CW500">
        <v>6209567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1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"12/16/2021 14:44:42.850"</f>
        <v>12/16/2021 14:44:42.850</v>
      </c>
      <c r="C501" t="str">
        <f t="shared" si="22"/>
        <v>FFDFD3C0</v>
      </c>
      <c r="D501" t="s">
        <v>133</v>
      </c>
      <c r="E501">
        <v>44</v>
      </c>
      <c r="H501">
        <v>131</v>
      </c>
      <c r="I501" t="s">
        <v>134</v>
      </c>
      <c r="J501" t="s">
        <v>135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"14:44:42.617"</f>
        <v>14:44:42.617</v>
      </c>
      <c r="T501" t="str">
        <f>"14:44:42.217"</f>
        <v>14:44:42.217</v>
      </c>
      <c r="U501" t="str">
        <f t="shared" si="21"/>
        <v>A0F928</v>
      </c>
      <c r="V501">
        <v>0</v>
      </c>
      <c r="W501">
        <v>0</v>
      </c>
      <c r="X501">
        <v>2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1</v>
      </c>
      <c r="AI501" t="s">
        <v>372</v>
      </c>
      <c r="AJ501">
        <v>35.810021999999996</v>
      </c>
      <c r="AK501" t="s">
        <v>373</v>
      </c>
      <c r="AL501">
        <v>-83.952820000000003</v>
      </c>
      <c r="AM501">
        <v>25</v>
      </c>
      <c r="AN501">
        <v>1575</v>
      </c>
      <c r="AO501" t="s">
        <v>118</v>
      </c>
      <c r="AP501">
        <v>93</v>
      </c>
      <c r="AQ501">
        <v>84</v>
      </c>
      <c r="AR501">
        <v>-128</v>
      </c>
      <c r="AZ501">
        <v>300</v>
      </c>
      <c r="BA501">
        <v>1</v>
      </c>
      <c r="BB501" t="str">
        <f t="shared" si="23"/>
        <v xml:space="preserve">N162AM  </v>
      </c>
      <c r="BC501">
        <v>1</v>
      </c>
      <c r="BE501">
        <v>0</v>
      </c>
      <c r="BF501">
        <v>0</v>
      </c>
      <c r="BG501">
        <v>0</v>
      </c>
      <c r="BH501">
        <v>1850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>"14:44:42.624"</f>
        <v>14:44:42.624</v>
      </c>
      <c r="CJ501">
        <v>3</v>
      </c>
      <c r="CK501">
        <v>2</v>
      </c>
      <c r="CL501">
        <v>0</v>
      </c>
      <c r="CM501">
        <v>2</v>
      </c>
      <c r="CN501">
        <v>0</v>
      </c>
      <c r="CO501">
        <v>6</v>
      </c>
      <c r="CP501" t="s">
        <v>119</v>
      </c>
      <c r="CQ501">
        <v>232</v>
      </c>
      <c r="CR501">
        <v>2</v>
      </c>
      <c r="CW501">
        <v>6209567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1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"12/16/2021 14:44:43.834"</f>
        <v>12/16/2021 14:44:43.834</v>
      </c>
      <c r="C502" t="str">
        <f t="shared" si="22"/>
        <v>FFDFD3C0</v>
      </c>
      <c r="D502" t="s">
        <v>113</v>
      </c>
      <c r="E502">
        <v>8</v>
      </c>
      <c r="H502">
        <v>176</v>
      </c>
      <c r="I502" t="s">
        <v>114</v>
      </c>
      <c r="J502" t="s">
        <v>115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"14:44:43.563"</f>
        <v>14:44:43.563</v>
      </c>
      <c r="T502" t="str">
        <f>"14:44:43.063"</f>
        <v>14:44:43.063</v>
      </c>
      <c r="U502" t="str">
        <f t="shared" si="21"/>
        <v>A0F928</v>
      </c>
      <c r="V502">
        <v>0</v>
      </c>
      <c r="W502">
        <v>0</v>
      </c>
      <c r="X502">
        <v>2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1</v>
      </c>
      <c r="AI502" t="s">
        <v>374</v>
      </c>
      <c r="AJ502">
        <v>35.810429999999997</v>
      </c>
      <c r="AK502" t="s">
        <v>375</v>
      </c>
      <c r="AL502">
        <v>-83.952304999999996</v>
      </c>
      <c r="AM502">
        <v>25</v>
      </c>
      <c r="AN502">
        <v>1575</v>
      </c>
      <c r="AO502" t="s">
        <v>118</v>
      </c>
      <c r="AP502">
        <v>93</v>
      </c>
      <c r="AQ502">
        <v>84</v>
      </c>
      <c r="AR502">
        <v>-64</v>
      </c>
      <c r="AZ502">
        <v>300</v>
      </c>
      <c r="BA502">
        <v>1</v>
      </c>
      <c r="BB502" t="str">
        <f t="shared" si="23"/>
        <v xml:space="preserve">N162AM  </v>
      </c>
      <c r="BC502">
        <v>1</v>
      </c>
      <c r="BE502">
        <v>0</v>
      </c>
      <c r="BF502">
        <v>0</v>
      </c>
      <c r="BG502">
        <v>0</v>
      </c>
      <c r="BH502">
        <v>1825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>"14:44:43.563"</f>
        <v>14:44:43.563</v>
      </c>
      <c r="CJ502">
        <v>3</v>
      </c>
      <c r="CK502">
        <v>2</v>
      </c>
      <c r="CL502">
        <v>0</v>
      </c>
      <c r="CM502">
        <v>2</v>
      </c>
      <c r="CN502">
        <v>0</v>
      </c>
      <c r="CO502">
        <v>6</v>
      </c>
      <c r="CP502" t="s">
        <v>119</v>
      </c>
      <c r="CQ502">
        <v>232</v>
      </c>
      <c r="CR502">
        <v>2</v>
      </c>
      <c r="CW502">
        <v>6211038</v>
      </c>
      <c r="CY502">
        <v>1</v>
      </c>
      <c r="CZ502">
        <v>0</v>
      </c>
      <c r="DA502">
        <v>0</v>
      </c>
      <c r="DB502">
        <v>0</v>
      </c>
      <c r="DC502">
        <v>0</v>
      </c>
      <c r="DD502">
        <v>1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"12/16/2021 14:44:43.834"</f>
        <v>12/16/2021 14:44:43.834</v>
      </c>
      <c r="C503" t="str">
        <f t="shared" si="22"/>
        <v>FFDFD3C0</v>
      </c>
      <c r="D503" t="s">
        <v>124</v>
      </c>
      <c r="E503">
        <v>5</v>
      </c>
      <c r="F503">
        <v>1005</v>
      </c>
      <c r="G503" t="s">
        <v>114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"14:44:43.563"</f>
        <v>14:44:43.563</v>
      </c>
      <c r="T503" t="str">
        <f>"14:44:43.063"</f>
        <v>14:44:43.063</v>
      </c>
      <c r="U503" t="str">
        <f t="shared" si="21"/>
        <v>A0F928</v>
      </c>
      <c r="V503">
        <v>0</v>
      </c>
      <c r="W503">
        <v>0</v>
      </c>
      <c r="X503">
        <v>2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1</v>
      </c>
      <c r="AI503" t="s">
        <v>374</v>
      </c>
      <c r="AJ503">
        <v>35.810429999999997</v>
      </c>
      <c r="AK503" t="s">
        <v>375</v>
      </c>
      <c r="AL503">
        <v>-83.952304999999996</v>
      </c>
      <c r="AM503">
        <v>25</v>
      </c>
      <c r="AN503">
        <v>1575</v>
      </c>
      <c r="AO503" t="s">
        <v>118</v>
      </c>
      <c r="AP503">
        <v>93</v>
      </c>
      <c r="AQ503">
        <v>84</v>
      </c>
      <c r="AR503">
        <v>-64</v>
      </c>
      <c r="AZ503">
        <v>300</v>
      </c>
      <c r="BA503">
        <v>1</v>
      </c>
      <c r="BB503" t="str">
        <f t="shared" si="23"/>
        <v xml:space="preserve">N162AM  </v>
      </c>
      <c r="BC503">
        <v>1</v>
      </c>
      <c r="BE503">
        <v>0</v>
      </c>
      <c r="BF503">
        <v>0</v>
      </c>
      <c r="BG503">
        <v>0</v>
      </c>
      <c r="BH503">
        <v>1825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>"14:44:43.563"</f>
        <v>14:44:43.563</v>
      </c>
      <c r="CJ503">
        <v>3</v>
      </c>
      <c r="CK503">
        <v>2</v>
      </c>
      <c r="CL503">
        <v>0</v>
      </c>
      <c r="CM503">
        <v>2</v>
      </c>
      <c r="CN503">
        <v>0</v>
      </c>
      <c r="CO503">
        <v>6</v>
      </c>
      <c r="CP503" t="s">
        <v>119</v>
      </c>
      <c r="CQ503">
        <v>232</v>
      </c>
      <c r="CR503">
        <v>2</v>
      </c>
      <c r="CW503">
        <v>6211038</v>
      </c>
      <c r="CY503">
        <v>1</v>
      </c>
      <c r="CZ503">
        <v>0</v>
      </c>
      <c r="DA503">
        <v>1</v>
      </c>
      <c r="DB503">
        <v>0</v>
      </c>
      <c r="DC503">
        <v>0</v>
      </c>
      <c r="DD503">
        <v>1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"12/16/2021 14:44:43.834"</f>
        <v>12/16/2021 14:44:43.834</v>
      </c>
      <c r="C504" t="str">
        <f t="shared" si="22"/>
        <v>FFDFD3C0</v>
      </c>
      <c r="D504" t="s">
        <v>124</v>
      </c>
      <c r="E504">
        <v>10</v>
      </c>
      <c r="F504">
        <v>1010</v>
      </c>
      <c r="G504" t="s">
        <v>130</v>
      </c>
      <c r="J504" t="s">
        <v>125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"14:44:43.563"</f>
        <v>14:44:43.563</v>
      </c>
      <c r="T504" t="str">
        <f>"14:44:43.063"</f>
        <v>14:44:43.063</v>
      </c>
      <c r="U504" t="str">
        <f t="shared" si="21"/>
        <v>A0F928</v>
      </c>
      <c r="V504">
        <v>0</v>
      </c>
      <c r="W504">
        <v>0</v>
      </c>
      <c r="X504">
        <v>2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0</v>
      </c>
      <c r="AG504">
        <v>2</v>
      </c>
      <c r="AH504">
        <v>1</v>
      </c>
      <c r="AI504" t="s">
        <v>374</v>
      </c>
      <c r="AJ504">
        <v>35.810429999999997</v>
      </c>
      <c r="AK504" t="s">
        <v>375</v>
      </c>
      <c r="AL504">
        <v>-83.952304999999996</v>
      </c>
      <c r="AM504">
        <v>25</v>
      </c>
      <c r="AN504">
        <v>1575</v>
      </c>
      <c r="AO504" t="s">
        <v>118</v>
      </c>
      <c r="AP504">
        <v>93</v>
      </c>
      <c r="AQ504">
        <v>84</v>
      </c>
      <c r="AR504">
        <v>-64</v>
      </c>
      <c r="AZ504">
        <v>300</v>
      </c>
      <c r="BA504">
        <v>1</v>
      </c>
      <c r="BB504" t="str">
        <f t="shared" si="23"/>
        <v xml:space="preserve">N162AM  </v>
      </c>
      <c r="BC504">
        <v>1</v>
      </c>
      <c r="BE504">
        <v>0</v>
      </c>
      <c r="BF504">
        <v>0</v>
      </c>
      <c r="BG504">
        <v>0</v>
      </c>
      <c r="BH504">
        <v>1825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>"14:44:43.563"</f>
        <v>14:44:43.563</v>
      </c>
      <c r="CJ504">
        <v>2</v>
      </c>
      <c r="CK504">
        <v>2</v>
      </c>
      <c r="CL504">
        <v>0</v>
      </c>
      <c r="CM504">
        <v>2</v>
      </c>
      <c r="CN504">
        <v>0</v>
      </c>
      <c r="CO504">
        <v>6</v>
      </c>
      <c r="CP504" t="s">
        <v>119</v>
      </c>
      <c r="CQ504">
        <v>232</v>
      </c>
      <c r="CR504">
        <v>2</v>
      </c>
      <c r="CW504">
        <v>6211038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1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"12/16/2021 14:44:43.834"</f>
        <v>12/16/2021 14:44:43.834</v>
      </c>
      <c r="C505" t="str">
        <f t="shared" si="22"/>
        <v>FFDFD3C0</v>
      </c>
      <c r="D505" t="s">
        <v>133</v>
      </c>
      <c r="E505">
        <v>44</v>
      </c>
      <c r="H505">
        <v>131</v>
      </c>
      <c r="I505" t="s">
        <v>134</v>
      </c>
      <c r="J505" t="s">
        <v>135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"14:44:43.563"</f>
        <v>14:44:43.563</v>
      </c>
      <c r="T505" t="str">
        <f>"14:44:43.063"</f>
        <v>14:44:43.063</v>
      </c>
      <c r="U505" t="str">
        <f t="shared" si="21"/>
        <v>A0F928</v>
      </c>
      <c r="V505">
        <v>0</v>
      </c>
      <c r="W505">
        <v>0</v>
      </c>
      <c r="X505">
        <v>2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1</v>
      </c>
      <c r="AI505" t="s">
        <v>374</v>
      </c>
      <c r="AJ505">
        <v>35.810429999999997</v>
      </c>
      <c r="AK505" t="s">
        <v>375</v>
      </c>
      <c r="AL505">
        <v>-83.952304999999996</v>
      </c>
      <c r="AM505">
        <v>25</v>
      </c>
      <c r="AN505">
        <v>1575</v>
      </c>
      <c r="AO505" t="s">
        <v>118</v>
      </c>
      <c r="AP505">
        <v>93</v>
      </c>
      <c r="AQ505">
        <v>84</v>
      </c>
      <c r="AR505">
        <v>-64</v>
      </c>
      <c r="AZ505">
        <v>300</v>
      </c>
      <c r="BA505">
        <v>1</v>
      </c>
      <c r="BB505" t="str">
        <f t="shared" si="23"/>
        <v xml:space="preserve">N162AM  </v>
      </c>
      <c r="BC505">
        <v>1</v>
      </c>
      <c r="BE505">
        <v>0</v>
      </c>
      <c r="BF505">
        <v>0</v>
      </c>
      <c r="BG505">
        <v>0</v>
      </c>
      <c r="BH505">
        <v>1825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>"14:44:43.563"</f>
        <v>14:44:43.563</v>
      </c>
      <c r="CJ505">
        <v>3</v>
      </c>
      <c r="CK505">
        <v>2</v>
      </c>
      <c r="CL505">
        <v>0</v>
      </c>
      <c r="CM505">
        <v>2</v>
      </c>
      <c r="CN505">
        <v>0</v>
      </c>
      <c r="CO505">
        <v>6</v>
      </c>
      <c r="CP505" t="s">
        <v>119</v>
      </c>
      <c r="CQ505">
        <v>232</v>
      </c>
      <c r="CR505">
        <v>2</v>
      </c>
      <c r="CW505">
        <v>6211038</v>
      </c>
      <c r="CY505">
        <v>1</v>
      </c>
      <c r="CZ505">
        <v>0</v>
      </c>
      <c r="DA505">
        <v>1</v>
      </c>
      <c r="DB505">
        <v>0</v>
      </c>
      <c r="DC505">
        <v>0</v>
      </c>
      <c r="DD505">
        <v>1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"12/16/2021 14:44:44.880"</f>
        <v>12/16/2021 14:44:44.880</v>
      </c>
      <c r="C506" t="str">
        <f t="shared" si="22"/>
        <v>FFDFD3C0</v>
      </c>
      <c r="D506" t="s">
        <v>124</v>
      </c>
      <c r="E506">
        <v>5</v>
      </c>
      <c r="F506">
        <v>1005</v>
      </c>
      <c r="G506" t="s">
        <v>114</v>
      </c>
      <c r="J506" t="s">
        <v>125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"14:44:44.609"</f>
        <v>14:44:44.609</v>
      </c>
      <c r="T506" t="str">
        <f>"14:44:43.609"</f>
        <v>14:44:43.609</v>
      </c>
      <c r="U506" t="str">
        <f t="shared" si="21"/>
        <v>A0F928</v>
      </c>
      <c r="V506">
        <v>0</v>
      </c>
      <c r="W506">
        <v>0</v>
      </c>
      <c r="X506">
        <v>2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1</v>
      </c>
      <c r="AI506" t="s">
        <v>376</v>
      </c>
      <c r="AJ506">
        <v>35.810816000000003</v>
      </c>
      <c r="AK506" t="s">
        <v>377</v>
      </c>
      <c r="AL506">
        <v>-83.951746999999997</v>
      </c>
      <c r="AM506">
        <v>25</v>
      </c>
      <c r="AN506">
        <v>1575</v>
      </c>
      <c r="AO506" t="s">
        <v>118</v>
      </c>
      <c r="AP506">
        <v>93</v>
      </c>
      <c r="AQ506">
        <v>83</v>
      </c>
      <c r="AR506">
        <v>-128</v>
      </c>
      <c r="AZ506">
        <v>300</v>
      </c>
      <c r="BA506">
        <v>1</v>
      </c>
      <c r="BB506" t="str">
        <f t="shared" si="23"/>
        <v xml:space="preserve">N162AM  </v>
      </c>
      <c r="BC506">
        <v>1</v>
      </c>
      <c r="BE506">
        <v>0</v>
      </c>
      <c r="BF506">
        <v>0</v>
      </c>
      <c r="BG506">
        <v>0</v>
      </c>
      <c r="BH506">
        <v>1825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>"14:44:44.617"</f>
        <v>14:44:44.617</v>
      </c>
      <c r="CJ506">
        <v>3</v>
      </c>
      <c r="CK506">
        <v>2</v>
      </c>
      <c r="CL506">
        <v>0</v>
      </c>
      <c r="CM506">
        <v>2</v>
      </c>
      <c r="CN506">
        <v>0</v>
      </c>
      <c r="CO506">
        <v>6</v>
      </c>
      <c r="CP506" t="s">
        <v>119</v>
      </c>
      <c r="CQ506">
        <v>232</v>
      </c>
      <c r="CR506">
        <v>2</v>
      </c>
      <c r="CW506">
        <v>6212605</v>
      </c>
      <c r="CY506">
        <v>1</v>
      </c>
      <c r="CZ506">
        <v>0</v>
      </c>
      <c r="DA506">
        <v>0</v>
      </c>
      <c r="DB506">
        <v>0</v>
      </c>
      <c r="DC506">
        <v>0</v>
      </c>
      <c r="DD506">
        <v>1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"12/16/2021 14:44:44.880"</f>
        <v>12/16/2021 14:44:44.880</v>
      </c>
      <c r="C507" t="str">
        <f t="shared" si="22"/>
        <v>FFDFD3C0</v>
      </c>
      <c r="D507" t="s">
        <v>113</v>
      </c>
      <c r="E507">
        <v>8</v>
      </c>
      <c r="H507">
        <v>176</v>
      </c>
      <c r="I507" t="s">
        <v>114</v>
      </c>
      <c r="J507" t="s">
        <v>115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"14:44:44.609"</f>
        <v>14:44:44.609</v>
      </c>
      <c r="T507" t="str">
        <f>"14:44:43.609"</f>
        <v>14:44:43.609</v>
      </c>
      <c r="U507" t="str">
        <f t="shared" si="21"/>
        <v>A0F928</v>
      </c>
      <c r="V507">
        <v>0</v>
      </c>
      <c r="W507">
        <v>0</v>
      </c>
      <c r="X507">
        <v>2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1</v>
      </c>
      <c r="AI507" t="s">
        <v>376</v>
      </c>
      <c r="AJ507">
        <v>35.810816000000003</v>
      </c>
      <c r="AK507" t="s">
        <v>377</v>
      </c>
      <c r="AL507">
        <v>-83.951746999999997</v>
      </c>
      <c r="AM507">
        <v>25</v>
      </c>
      <c r="AN507">
        <v>1575</v>
      </c>
      <c r="AO507" t="s">
        <v>118</v>
      </c>
      <c r="AP507">
        <v>93</v>
      </c>
      <c r="AQ507">
        <v>83</v>
      </c>
      <c r="AR507">
        <v>-128</v>
      </c>
      <c r="AZ507">
        <v>300</v>
      </c>
      <c r="BA507">
        <v>1</v>
      </c>
      <c r="BB507" t="str">
        <f t="shared" si="23"/>
        <v xml:space="preserve">N162AM  </v>
      </c>
      <c r="BC507">
        <v>1</v>
      </c>
      <c r="BE507">
        <v>0</v>
      </c>
      <c r="BF507">
        <v>0</v>
      </c>
      <c r="BG507">
        <v>0</v>
      </c>
      <c r="BH507">
        <v>1825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>"14:44:44.617"</f>
        <v>14:44:44.617</v>
      </c>
      <c r="CJ507">
        <v>3</v>
      </c>
      <c r="CK507">
        <v>2</v>
      </c>
      <c r="CL507">
        <v>0</v>
      </c>
      <c r="CM507">
        <v>2</v>
      </c>
      <c r="CN507">
        <v>0</v>
      </c>
      <c r="CO507">
        <v>6</v>
      </c>
      <c r="CP507" t="s">
        <v>119</v>
      </c>
      <c r="CQ507">
        <v>232</v>
      </c>
      <c r="CR507">
        <v>2</v>
      </c>
      <c r="CW507">
        <v>6212605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1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"12/16/2021 14:44:44.896"</f>
        <v>12/16/2021 14:44:44.896</v>
      </c>
      <c r="C508" t="str">
        <f t="shared" si="22"/>
        <v>FFDFD3C0</v>
      </c>
      <c r="D508" t="s">
        <v>124</v>
      </c>
      <c r="E508">
        <v>10</v>
      </c>
      <c r="F508">
        <v>1010</v>
      </c>
      <c r="G508" t="s">
        <v>130</v>
      </c>
      <c r="J508" t="s">
        <v>125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"14:44:44.609"</f>
        <v>14:44:44.609</v>
      </c>
      <c r="T508" t="str">
        <f>"14:44:43.609"</f>
        <v>14:44:43.609</v>
      </c>
      <c r="U508" t="str">
        <f t="shared" si="21"/>
        <v>A0F928</v>
      </c>
      <c r="V508">
        <v>0</v>
      </c>
      <c r="W508">
        <v>0</v>
      </c>
      <c r="X508">
        <v>2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0</v>
      </c>
      <c r="AG508">
        <v>2</v>
      </c>
      <c r="AH508">
        <v>1</v>
      </c>
      <c r="AI508" t="s">
        <v>376</v>
      </c>
      <c r="AJ508">
        <v>35.810816000000003</v>
      </c>
      <c r="AK508" t="s">
        <v>377</v>
      </c>
      <c r="AL508">
        <v>-83.951746999999997</v>
      </c>
      <c r="AM508">
        <v>25</v>
      </c>
      <c r="AN508">
        <v>1575</v>
      </c>
      <c r="AO508" t="s">
        <v>118</v>
      </c>
      <c r="AP508">
        <v>93</v>
      </c>
      <c r="AQ508">
        <v>83</v>
      </c>
      <c r="AR508">
        <v>-128</v>
      </c>
      <c r="AZ508">
        <v>300</v>
      </c>
      <c r="BA508">
        <v>1</v>
      </c>
      <c r="BB508" t="str">
        <f t="shared" si="23"/>
        <v xml:space="preserve">N162AM  </v>
      </c>
      <c r="BC508">
        <v>1</v>
      </c>
      <c r="BE508">
        <v>0</v>
      </c>
      <c r="BF508">
        <v>0</v>
      </c>
      <c r="BG508">
        <v>0</v>
      </c>
      <c r="BH508">
        <v>1825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>"14:44:44.617"</f>
        <v>14:44:44.617</v>
      </c>
      <c r="CJ508">
        <v>2</v>
      </c>
      <c r="CK508">
        <v>2</v>
      </c>
      <c r="CL508">
        <v>0</v>
      </c>
      <c r="CM508">
        <v>2</v>
      </c>
      <c r="CN508">
        <v>0</v>
      </c>
      <c r="CO508">
        <v>6</v>
      </c>
      <c r="CP508" t="s">
        <v>119</v>
      </c>
      <c r="CQ508">
        <v>232</v>
      </c>
      <c r="CR508">
        <v>2</v>
      </c>
      <c r="CW508">
        <v>6212605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1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"12/16/2021 14:44:44.896"</f>
        <v>12/16/2021 14:44:44.896</v>
      </c>
      <c r="C509" t="str">
        <f t="shared" si="22"/>
        <v>FFDFD3C0</v>
      </c>
      <c r="D509" t="s">
        <v>133</v>
      </c>
      <c r="E509">
        <v>44</v>
      </c>
      <c r="H509">
        <v>131</v>
      </c>
      <c r="I509" t="s">
        <v>134</v>
      </c>
      <c r="J509" t="s">
        <v>135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"14:44:44.609"</f>
        <v>14:44:44.609</v>
      </c>
      <c r="T509" t="str">
        <f>"14:44:43.609"</f>
        <v>14:44:43.609</v>
      </c>
      <c r="U509" t="str">
        <f t="shared" si="21"/>
        <v>A0F928</v>
      </c>
      <c r="V509">
        <v>0</v>
      </c>
      <c r="W509">
        <v>0</v>
      </c>
      <c r="X509">
        <v>2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1</v>
      </c>
      <c r="AI509" t="s">
        <v>376</v>
      </c>
      <c r="AJ509">
        <v>35.810816000000003</v>
      </c>
      <c r="AK509" t="s">
        <v>377</v>
      </c>
      <c r="AL509">
        <v>-83.951746999999997</v>
      </c>
      <c r="AM509">
        <v>25</v>
      </c>
      <c r="AN509">
        <v>1575</v>
      </c>
      <c r="AO509" t="s">
        <v>118</v>
      </c>
      <c r="AP509">
        <v>93</v>
      </c>
      <c r="AQ509">
        <v>83</v>
      </c>
      <c r="AR509">
        <v>-128</v>
      </c>
      <c r="AZ509">
        <v>300</v>
      </c>
      <c r="BA509">
        <v>1</v>
      </c>
      <c r="BB509" t="str">
        <f t="shared" si="23"/>
        <v xml:space="preserve">N162AM  </v>
      </c>
      <c r="BC509">
        <v>1</v>
      </c>
      <c r="BE509">
        <v>0</v>
      </c>
      <c r="BF509">
        <v>0</v>
      </c>
      <c r="BG509">
        <v>0</v>
      </c>
      <c r="BH509">
        <v>1825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>"14:44:44.617"</f>
        <v>14:44:44.617</v>
      </c>
      <c r="CJ509">
        <v>3</v>
      </c>
      <c r="CK509">
        <v>2</v>
      </c>
      <c r="CL509">
        <v>0</v>
      </c>
      <c r="CM509">
        <v>2</v>
      </c>
      <c r="CN509">
        <v>0</v>
      </c>
      <c r="CO509">
        <v>6</v>
      </c>
      <c r="CP509" t="s">
        <v>119</v>
      </c>
      <c r="CQ509">
        <v>232</v>
      </c>
      <c r="CR509">
        <v>2</v>
      </c>
      <c r="CW509">
        <v>6212605</v>
      </c>
      <c r="CY509">
        <v>1</v>
      </c>
      <c r="CZ509">
        <v>0</v>
      </c>
      <c r="DA509">
        <v>1</v>
      </c>
      <c r="DB509">
        <v>0</v>
      </c>
      <c r="DC509">
        <v>0</v>
      </c>
      <c r="DD509">
        <v>1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"12/16/2021 14:44:45.817"</f>
        <v>12/16/2021 14:44:45.817</v>
      </c>
      <c r="C510" t="str">
        <f t="shared" si="22"/>
        <v>FFDFD3C0</v>
      </c>
      <c r="D510" t="s">
        <v>133</v>
      </c>
      <c r="E510">
        <v>44</v>
      </c>
      <c r="H510">
        <v>131</v>
      </c>
      <c r="I510" t="s">
        <v>134</v>
      </c>
      <c r="J510" t="s">
        <v>135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"14:44:45.602"</f>
        <v>14:44:45.602</v>
      </c>
      <c r="T510" t="str">
        <f>"14:44:44.702"</f>
        <v>14:44:44.702</v>
      </c>
      <c r="U510" t="str">
        <f t="shared" si="21"/>
        <v>A0F928</v>
      </c>
      <c r="V510">
        <v>0</v>
      </c>
      <c r="W510">
        <v>0</v>
      </c>
      <c r="X510">
        <v>2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1</v>
      </c>
      <c r="AI510" t="s">
        <v>378</v>
      </c>
      <c r="AJ510">
        <v>35.811180999999998</v>
      </c>
      <c r="AK510" t="s">
        <v>379</v>
      </c>
      <c r="AL510">
        <v>-83.951274999999995</v>
      </c>
      <c r="AM510">
        <v>25</v>
      </c>
      <c r="AN510">
        <v>1575</v>
      </c>
      <c r="AO510" t="s">
        <v>118</v>
      </c>
      <c r="AP510">
        <v>93</v>
      </c>
      <c r="AQ510">
        <v>83</v>
      </c>
      <c r="AR510">
        <v>-128</v>
      </c>
      <c r="AZ510">
        <v>300</v>
      </c>
      <c r="BA510">
        <v>1</v>
      </c>
      <c r="BB510" t="str">
        <f t="shared" si="23"/>
        <v xml:space="preserve">N162AM  </v>
      </c>
      <c r="BC510">
        <v>1</v>
      </c>
      <c r="BE510">
        <v>0</v>
      </c>
      <c r="BF510">
        <v>0</v>
      </c>
      <c r="BG510">
        <v>0</v>
      </c>
      <c r="BH510">
        <v>1825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>"14:44:45.608"</f>
        <v>14:44:45.608</v>
      </c>
      <c r="CJ510">
        <v>3</v>
      </c>
      <c r="CK510">
        <v>2</v>
      </c>
      <c r="CL510">
        <v>0</v>
      </c>
      <c r="CM510">
        <v>2</v>
      </c>
      <c r="CN510">
        <v>0</v>
      </c>
      <c r="CO510">
        <v>6</v>
      </c>
      <c r="CP510" t="s">
        <v>119</v>
      </c>
      <c r="CQ510">
        <v>232</v>
      </c>
      <c r="CR510">
        <v>1</v>
      </c>
      <c r="CW510">
        <v>15017641</v>
      </c>
      <c r="CY510">
        <v>1</v>
      </c>
      <c r="CZ510">
        <v>0</v>
      </c>
      <c r="DA510">
        <v>0</v>
      </c>
      <c r="DB510">
        <v>0</v>
      </c>
      <c r="DC510">
        <v>0</v>
      </c>
      <c r="DD510">
        <v>1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"12/16/2021 14:44:45.849"</f>
        <v>12/16/2021 14:44:45.849</v>
      </c>
      <c r="C511" t="str">
        <f t="shared" si="22"/>
        <v>FFDFD3C0</v>
      </c>
      <c r="D511" t="s">
        <v>124</v>
      </c>
      <c r="E511">
        <v>5</v>
      </c>
      <c r="F511">
        <v>1005</v>
      </c>
      <c r="G511" t="s">
        <v>114</v>
      </c>
      <c r="J511" t="s">
        <v>125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"14:44:45.602"</f>
        <v>14:44:45.602</v>
      </c>
      <c r="T511" t="str">
        <f>"14:44:44.702"</f>
        <v>14:44:44.702</v>
      </c>
      <c r="U511" t="str">
        <f t="shared" si="21"/>
        <v>A0F928</v>
      </c>
      <c r="V511">
        <v>0</v>
      </c>
      <c r="W511">
        <v>0</v>
      </c>
      <c r="X511">
        <v>2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1</v>
      </c>
      <c r="AI511" t="s">
        <v>378</v>
      </c>
      <c r="AJ511">
        <v>35.811180999999998</v>
      </c>
      <c r="AK511" t="s">
        <v>379</v>
      </c>
      <c r="AL511">
        <v>-83.951274999999995</v>
      </c>
      <c r="AM511">
        <v>25</v>
      </c>
      <c r="AN511">
        <v>1575</v>
      </c>
      <c r="AO511" t="s">
        <v>118</v>
      </c>
      <c r="AP511">
        <v>93</v>
      </c>
      <c r="AQ511">
        <v>83</v>
      </c>
      <c r="AR511">
        <v>-128</v>
      </c>
      <c r="AZ511">
        <v>300</v>
      </c>
      <c r="BA511">
        <v>1</v>
      </c>
      <c r="BB511" t="str">
        <f t="shared" si="23"/>
        <v xml:space="preserve">N162AM  </v>
      </c>
      <c r="BC511">
        <v>1</v>
      </c>
      <c r="BE511">
        <v>0</v>
      </c>
      <c r="BF511">
        <v>0</v>
      </c>
      <c r="BG511">
        <v>0</v>
      </c>
      <c r="BH511">
        <v>1825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>"14:44:45.608"</f>
        <v>14:44:45.608</v>
      </c>
      <c r="CJ511">
        <v>3</v>
      </c>
      <c r="CK511">
        <v>2</v>
      </c>
      <c r="CL511">
        <v>0</v>
      </c>
      <c r="CM511">
        <v>2</v>
      </c>
      <c r="CN511">
        <v>0</v>
      </c>
      <c r="CO511">
        <v>6</v>
      </c>
      <c r="CP511" t="s">
        <v>119</v>
      </c>
      <c r="CQ511">
        <v>232</v>
      </c>
      <c r="CR511">
        <v>1</v>
      </c>
      <c r="CW511">
        <v>15017641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1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"12/16/2021 14:44:45.864"</f>
        <v>12/16/2021 14:44:45.864</v>
      </c>
      <c r="C512" t="str">
        <f t="shared" si="22"/>
        <v>FFDFD3C0</v>
      </c>
      <c r="D512" t="s">
        <v>124</v>
      </c>
      <c r="E512">
        <v>10</v>
      </c>
      <c r="F512">
        <v>1010</v>
      </c>
      <c r="G512" t="s">
        <v>130</v>
      </c>
      <c r="J512" t="s">
        <v>125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"14:44:45.602"</f>
        <v>14:44:45.602</v>
      </c>
      <c r="T512" t="str">
        <f>"14:44:44.702"</f>
        <v>14:44:44.702</v>
      </c>
      <c r="U512" t="str">
        <f t="shared" si="21"/>
        <v>A0F928</v>
      </c>
      <c r="V512">
        <v>0</v>
      </c>
      <c r="W512">
        <v>0</v>
      </c>
      <c r="X512">
        <v>2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0</v>
      </c>
      <c r="AG512">
        <v>2</v>
      </c>
      <c r="AH512">
        <v>1</v>
      </c>
      <c r="AI512" t="s">
        <v>378</v>
      </c>
      <c r="AJ512">
        <v>35.811180999999998</v>
      </c>
      <c r="AK512" t="s">
        <v>379</v>
      </c>
      <c r="AL512">
        <v>-83.951274999999995</v>
      </c>
      <c r="AM512">
        <v>25</v>
      </c>
      <c r="AN512">
        <v>1575</v>
      </c>
      <c r="AO512" t="s">
        <v>118</v>
      </c>
      <c r="AP512">
        <v>93</v>
      </c>
      <c r="AQ512">
        <v>83</v>
      </c>
      <c r="AR512">
        <v>-128</v>
      </c>
      <c r="AZ512">
        <v>300</v>
      </c>
      <c r="BA512">
        <v>1</v>
      </c>
      <c r="BB512" t="str">
        <f t="shared" si="23"/>
        <v xml:space="preserve">N162AM  </v>
      </c>
      <c r="BC512">
        <v>1</v>
      </c>
      <c r="BE512">
        <v>0</v>
      </c>
      <c r="BF512">
        <v>0</v>
      </c>
      <c r="BG512">
        <v>0</v>
      </c>
      <c r="BH512">
        <v>1825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>"14:44:45.608"</f>
        <v>14:44:45.608</v>
      </c>
      <c r="CJ512">
        <v>2</v>
      </c>
      <c r="CK512">
        <v>2</v>
      </c>
      <c r="CL512">
        <v>0</v>
      </c>
      <c r="CM512">
        <v>2</v>
      </c>
      <c r="CN512">
        <v>0</v>
      </c>
      <c r="CO512">
        <v>6</v>
      </c>
      <c r="CP512" t="s">
        <v>119</v>
      </c>
      <c r="CQ512">
        <v>232</v>
      </c>
      <c r="CR512">
        <v>1</v>
      </c>
      <c r="CW512">
        <v>15017641</v>
      </c>
      <c r="CY512">
        <v>1</v>
      </c>
      <c r="CZ512">
        <v>0</v>
      </c>
      <c r="DA512">
        <v>1</v>
      </c>
      <c r="DB512">
        <v>0</v>
      </c>
      <c r="DC512">
        <v>0</v>
      </c>
      <c r="DD512">
        <v>1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"12/16/2021 14:44:45.864"</f>
        <v>12/16/2021 14:44:45.864</v>
      </c>
      <c r="C513" t="str">
        <f t="shared" si="22"/>
        <v>FFDFD3C0</v>
      </c>
      <c r="D513" t="s">
        <v>113</v>
      </c>
      <c r="E513">
        <v>8</v>
      </c>
      <c r="H513">
        <v>176</v>
      </c>
      <c r="I513" t="s">
        <v>114</v>
      </c>
      <c r="J513" t="s">
        <v>115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"14:44:45.602"</f>
        <v>14:44:45.602</v>
      </c>
      <c r="T513" t="str">
        <f>"14:44:44.702"</f>
        <v>14:44:44.702</v>
      </c>
      <c r="U513" t="str">
        <f t="shared" si="21"/>
        <v>A0F928</v>
      </c>
      <c r="V513">
        <v>0</v>
      </c>
      <c r="W513">
        <v>0</v>
      </c>
      <c r="X513">
        <v>2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1</v>
      </c>
      <c r="AI513" t="s">
        <v>378</v>
      </c>
      <c r="AJ513">
        <v>35.811180999999998</v>
      </c>
      <c r="AK513" t="s">
        <v>379</v>
      </c>
      <c r="AL513">
        <v>-83.951274999999995</v>
      </c>
      <c r="AM513">
        <v>25</v>
      </c>
      <c r="AN513">
        <v>1575</v>
      </c>
      <c r="AO513" t="s">
        <v>118</v>
      </c>
      <c r="AP513">
        <v>93</v>
      </c>
      <c r="AQ513">
        <v>83</v>
      </c>
      <c r="AR513">
        <v>-128</v>
      </c>
      <c r="AZ513">
        <v>300</v>
      </c>
      <c r="BA513">
        <v>1</v>
      </c>
      <c r="BB513" t="str">
        <f t="shared" si="23"/>
        <v xml:space="preserve">N162AM  </v>
      </c>
      <c r="BC513">
        <v>1</v>
      </c>
      <c r="BE513">
        <v>0</v>
      </c>
      <c r="BF513">
        <v>0</v>
      </c>
      <c r="BG513">
        <v>0</v>
      </c>
      <c r="BH513">
        <v>1825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>"14:44:45.608"</f>
        <v>14:44:45.608</v>
      </c>
      <c r="CJ513">
        <v>3</v>
      </c>
      <c r="CK513">
        <v>2</v>
      </c>
      <c r="CL513">
        <v>0</v>
      </c>
      <c r="CM513">
        <v>2</v>
      </c>
      <c r="CN513">
        <v>0</v>
      </c>
      <c r="CO513">
        <v>6</v>
      </c>
      <c r="CP513" t="s">
        <v>119</v>
      </c>
      <c r="CQ513">
        <v>232</v>
      </c>
      <c r="CR513">
        <v>1</v>
      </c>
      <c r="CW513">
        <v>15017641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1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"12/16/2021 14:44:46.943"</f>
        <v>12/16/2021 14:44:46.943</v>
      </c>
      <c r="C514" t="str">
        <f t="shared" si="22"/>
        <v>FFDFD3C0</v>
      </c>
      <c r="D514" t="s">
        <v>124</v>
      </c>
      <c r="E514">
        <v>5</v>
      </c>
      <c r="F514">
        <v>1005</v>
      </c>
      <c r="G514" t="s">
        <v>114</v>
      </c>
      <c r="J514" t="s">
        <v>125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"14:44:46.711"</f>
        <v>14:44:46.711</v>
      </c>
      <c r="T514" t="str">
        <f>"14:44:46.211"</f>
        <v>14:44:46.211</v>
      </c>
      <c r="U514" t="str">
        <f t="shared" ref="U514:U577" si="24">"A0F928"</f>
        <v>A0F928</v>
      </c>
      <c r="V514">
        <v>0</v>
      </c>
      <c r="W514">
        <v>0</v>
      </c>
      <c r="X514">
        <v>2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1</v>
      </c>
      <c r="AI514" t="s">
        <v>380</v>
      </c>
      <c r="AJ514">
        <v>35.811610000000002</v>
      </c>
      <c r="AK514" t="s">
        <v>381</v>
      </c>
      <c r="AL514">
        <v>-83.950675000000004</v>
      </c>
      <c r="AM514">
        <v>25</v>
      </c>
      <c r="AN514">
        <v>1550</v>
      </c>
      <c r="AO514" t="s">
        <v>118</v>
      </c>
      <c r="AP514">
        <v>93</v>
      </c>
      <c r="AQ514">
        <v>80</v>
      </c>
      <c r="AR514">
        <v>0</v>
      </c>
      <c r="AZ514">
        <v>300</v>
      </c>
      <c r="BA514">
        <v>1</v>
      </c>
      <c r="BB514" t="str">
        <f t="shared" si="23"/>
        <v xml:space="preserve">N162AM  </v>
      </c>
      <c r="BC514">
        <v>1</v>
      </c>
      <c r="BE514">
        <v>0</v>
      </c>
      <c r="BF514">
        <v>0</v>
      </c>
      <c r="BG514">
        <v>0</v>
      </c>
      <c r="BH514">
        <v>1825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>"14:44:46.719"</f>
        <v>14:44:46.719</v>
      </c>
      <c r="CJ514">
        <v>3</v>
      </c>
      <c r="CK514">
        <v>2</v>
      </c>
      <c r="CL514">
        <v>0</v>
      </c>
      <c r="CM514">
        <v>2</v>
      </c>
      <c r="CN514">
        <v>0</v>
      </c>
      <c r="CO514">
        <v>6</v>
      </c>
      <c r="CP514" t="s">
        <v>119</v>
      </c>
      <c r="CQ514">
        <v>232</v>
      </c>
      <c r="CR514">
        <v>2</v>
      </c>
      <c r="CW514">
        <v>6216004</v>
      </c>
      <c r="CY514">
        <v>1</v>
      </c>
      <c r="CZ514">
        <v>0</v>
      </c>
      <c r="DA514">
        <v>0</v>
      </c>
      <c r="DB514">
        <v>0</v>
      </c>
      <c r="DC514">
        <v>0</v>
      </c>
      <c r="DD514">
        <v>1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"12/16/2021 14:44:46.943"</f>
        <v>12/16/2021 14:44:46.943</v>
      </c>
      <c r="C515" t="str">
        <f t="shared" si="22"/>
        <v>FFDFD3C0</v>
      </c>
      <c r="D515" t="s">
        <v>124</v>
      </c>
      <c r="E515">
        <v>10</v>
      </c>
      <c r="F515">
        <v>1010</v>
      </c>
      <c r="G515" t="s">
        <v>130</v>
      </c>
      <c r="J515" t="s">
        <v>125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"14:44:46.711"</f>
        <v>14:44:46.711</v>
      </c>
      <c r="T515" t="str">
        <f>"14:44:46.211"</f>
        <v>14:44:46.211</v>
      </c>
      <c r="U515" t="str">
        <f t="shared" si="24"/>
        <v>A0F928</v>
      </c>
      <c r="V515">
        <v>0</v>
      </c>
      <c r="W515">
        <v>0</v>
      </c>
      <c r="X515">
        <v>2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0</v>
      </c>
      <c r="AG515">
        <v>2</v>
      </c>
      <c r="AH515">
        <v>1</v>
      </c>
      <c r="AI515" t="s">
        <v>380</v>
      </c>
      <c r="AJ515">
        <v>35.811610000000002</v>
      </c>
      <c r="AK515" t="s">
        <v>381</v>
      </c>
      <c r="AL515">
        <v>-83.950675000000004</v>
      </c>
      <c r="AM515">
        <v>25</v>
      </c>
      <c r="AN515">
        <v>1550</v>
      </c>
      <c r="AO515" t="s">
        <v>118</v>
      </c>
      <c r="AP515">
        <v>93</v>
      </c>
      <c r="AQ515">
        <v>80</v>
      </c>
      <c r="AR515">
        <v>0</v>
      </c>
      <c r="AZ515">
        <v>300</v>
      </c>
      <c r="BA515">
        <v>1</v>
      </c>
      <c r="BB515" t="str">
        <f t="shared" si="23"/>
        <v xml:space="preserve">N162AM  </v>
      </c>
      <c r="BC515">
        <v>1</v>
      </c>
      <c r="BE515">
        <v>0</v>
      </c>
      <c r="BF515">
        <v>0</v>
      </c>
      <c r="BG515">
        <v>0</v>
      </c>
      <c r="BH515">
        <v>1825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>"14:44:46.719"</f>
        <v>14:44:46.719</v>
      </c>
      <c r="CJ515">
        <v>2</v>
      </c>
      <c r="CK515">
        <v>2</v>
      </c>
      <c r="CL515">
        <v>0</v>
      </c>
      <c r="CM515">
        <v>2</v>
      </c>
      <c r="CN515">
        <v>0</v>
      </c>
      <c r="CO515">
        <v>6</v>
      </c>
      <c r="CP515" t="s">
        <v>119</v>
      </c>
      <c r="CQ515">
        <v>232</v>
      </c>
      <c r="CR515">
        <v>2</v>
      </c>
      <c r="CW515">
        <v>6216004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1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"12/16/2021 14:44:46.943"</f>
        <v>12/16/2021 14:44:46.943</v>
      </c>
      <c r="C516" t="str">
        <f t="shared" si="22"/>
        <v>FFDFD3C0</v>
      </c>
      <c r="D516" t="s">
        <v>113</v>
      </c>
      <c r="E516">
        <v>8</v>
      </c>
      <c r="H516">
        <v>176</v>
      </c>
      <c r="I516" t="s">
        <v>114</v>
      </c>
      <c r="J516" t="s">
        <v>115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"14:44:46.711"</f>
        <v>14:44:46.711</v>
      </c>
      <c r="T516" t="str">
        <f>"14:44:46.211"</f>
        <v>14:44:46.211</v>
      </c>
      <c r="U516" t="str">
        <f t="shared" si="24"/>
        <v>A0F928</v>
      </c>
      <c r="V516">
        <v>0</v>
      </c>
      <c r="W516">
        <v>0</v>
      </c>
      <c r="X516">
        <v>2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1</v>
      </c>
      <c r="AI516" t="s">
        <v>380</v>
      </c>
      <c r="AJ516">
        <v>35.811610000000002</v>
      </c>
      <c r="AK516" t="s">
        <v>381</v>
      </c>
      <c r="AL516">
        <v>-83.950675000000004</v>
      </c>
      <c r="AM516">
        <v>25</v>
      </c>
      <c r="AN516">
        <v>1550</v>
      </c>
      <c r="AO516" t="s">
        <v>118</v>
      </c>
      <c r="AP516">
        <v>93</v>
      </c>
      <c r="AQ516">
        <v>80</v>
      </c>
      <c r="AR516">
        <v>0</v>
      </c>
      <c r="AZ516">
        <v>300</v>
      </c>
      <c r="BA516">
        <v>1</v>
      </c>
      <c r="BB516" t="str">
        <f t="shared" si="23"/>
        <v xml:space="preserve">N162AM  </v>
      </c>
      <c r="BC516">
        <v>1</v>
      </c>
      <c r="BE516">
        <v>0</v>
      </c>
      <c r="BF516">
        <v>0</v>
      </c>
      <c r="BG516">
        <v>0</v>
      </c>
      <c r="BH516">
        <v>1825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>"14:44:46.719"</f>
        <v>14:44:46.719</v>
      </c>
      <c r="CJ516">
        <v>3</v>
      </c>
      <c r="CK516">
        <v>2</v>
      </c>
      <c r="CL516">
        <v>0</v>
      </c>
      <c r="CM516">
        <v>2</v>
      </c>
      <c r="CN516">
        <v>0</v>
      </c>
      <c r="CO516">
        <v>6</v>
      </c>
      <c r="CP516" t="s">
        <v>119</v>
      </c>
      <c r="CQ516">
        <v>232</v>
      </c>
      <c r="CR516">
        <v>2</v>
      </c>
      <c r="CW516">
        <v>6216004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1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"12/16/2021 14:44:46.943"</f>
        <v>12/16/2021 14:44:46.943</v>
      </c>
      <c r="C517" t="str">
        <f t="shared" si="22"/>
        <v>FFDFD3C0</v>
      </c>
      <c r="D517" t="s">
        <v>133</v>
      </c>
      <c r="E517">
        <v>44</v>
      </c>
      <c r="H517">
        <v>131</v>
      </c>
      <c r="I517" t="s">
        <v>134</v>
      </c>
      <c r="J517" t="s">
        <v>135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"14:44:46.711"</f>
        <v>14:44:46.711</v>
      </c>
      <c r="T517" t="str">
        <f>"14:44:46.211"</f>
        <v>14:44:46.211</v>
      </c>
      <c r="U517" t="str">
        <f t="shared" si="24"/>
        <v>A0F928</v>
      </c>
      <c r="V517">
        <v>0</v>
      </c>
      <c r="W517">
        <v>0</v>
      </c>
      <c r="X517">
        <v>2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1</v>
      </c>
      <c r="AI517" t="s">
        <v>380</v>
      </c>
      <c r="AJ517">
        <v>35.811610000000002</v>
      </c>
      <c r="AK517" t="s">
        <v>381</v>
      </c>
      <c r="AL517">
        <v>-83.950675000000004</v>
      </c>
      <c r="AM517">
        <v>25</v>
      </c>
      <c r="AN517">
        <v>1550</v>
      </c>
      <c r="AO517" t="s">
        <v>118</v>
      </c>
      <c r="AP517">
        <v>93</v>
      </c>
      <c r="AQ517">
        <v>80</v>
      </c>
      <c r="AR517">
        <v>0</v>
      </c>
      <c r="AZ517">
        <v>300</v>
      </c>
      <c r="BA517">
        <v>1</v>
      </c>
      <c r="BB517" t="str">
        <f t="shared" si="23"/>
        <v xml:space="preserve">N162AM  </v>
      </c>
      <c r="BC517">
        <v>1</v>
      </c>
      <c r="BE517">
        <v>0</v>
      </c>
      <c r="BF517">
        <v>0</v>
      </c>
      <c r="BG517">
        <v>0</v>
      </c>
      <c r="BH517">
        <v>1825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>"14:44:46.719"</f>
        <v>14:44:46.719</v>
      </c>
      <c r="CJ517">
        <v>3</v>
      </c>
      <c r="CK517">
        <v>2</v>
      </c>
      <c r="CL517">
        <v>0</v>
      </c>
      <c r="CM517">
        <v>2</v>
      </c>
      <c r="CN517">
        <v>0</v>
      </c>
      <c r="CO517">
        <v>6</v>
      </c>
      <c r="CP517" t="s">
        <v>119</v>
      </c>
      <c r="CQ517">
        <v>232</v>
      </c>
      <c r="CR517">
        <v>2</v>
      </c>
      <c r="CW517">
        <v>6216004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1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"12/16/2021 14:44:48.286"</f>
        <v>12/16/2021 14:44:48.286</v>
      </c>
      <c r="C518" t="str">
        <f t="shared" si="22"/>
        <v>FFDFD3C0</v>
      </c>
      <c r="D518" t="s">
        <v>113</v>
      </c>
      <c r="E518">
        <v>8</v>
      </c>
      <c r="H518">
        <v>176</v>
      </c>
      <c r="I518" t="s">
        <v>114</v>
      </c>
      <c r="J518" t="s">
        <v>115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"14:44:48.070"</f>
        <v>14:44:48.070</v>
      </c>
      <c r="T518" t="str">
        <f>"14:44:47.570"</f>
        <v>14:44:47.570</v>
      </c>
      <c r="U518" t="str">
        <f t="shared" si="24"/>
        <v>A0F928</v>
      </c>
      <c r="V518">
        <v>0</v>
      </c>
      <c r="W518">
        <v>0</v>
      </c>
      <c r="X518">
        <v>2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1</v>
      </c>
      <c r="AI518" t="s">
        <v>382</v>
      </c>
      <c r="AJ518">
        <v>35.812081999999997</v>
      </c>
      <c r="AK518" t="s">
        <v>383</v>
      </c>
      <c r="AL518">
        <v>-83.949859000000004</v>
      </c>
      <c r="AM518">
        <v>25</v>
      </c>
      <c r="AN518">
        <v>1575</v>
      </c>
      <c r="AO518" t="s">
        <v>118</v>
      </c>
      <c r="AP518">
        <v>95</v>
      </c>
      <c r="AQ518">
        <v>76</v>
      </c>
      <c r="AR518">
        <v>64</v>
      </c>
      <c r="AZ518">
        <v>300</v>
      </c>
      <c r="BA518">
        <v>1</v>
      </c>
      <c r="BB518" t="str">
        <f t="shared" si="23"/>
        <v xml:space="preserve">N162AM  </v>
      </c>
      <c r="BC518">
        <v>1</v>
      </c>
      <c r="BE518">
        <v>0</v>
      </c>
      <c r="BF518">
        <v>0</v>
      </c>
      <c r="BG518">
        <v>0</v>
      </c>
      <c r="BH518">
        <v>1825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>"14:44:48.077"</f>
        <v>14:44:48.077</v>
      </c>
      <c r="CJ518">
        <v>3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119</v>
      </c>
      <c r="CQ518">
        <v>232</v>
      </c>
      <c r="CR518">
        <v>1</v>
      </c>
      <c r="CW518">
        <v>15021541</v>
      </c>
      <c r="CY518">
        <v>1</v>
      </c>
      <c r="CZ518">
        <v>0</v>
      </c>
      <c r="DA518">
        <v>0</v>
      </c>
      <c r="DB518">
        <v>0</v>
      </c>
      <c r="DC518">
        <v>0</v>
      </c>
      <c r="DD518">
        <v>1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"12/16/2021 14:44:48.365"</f>
        <v>12/16/2021 14:44:48.365</v>
      </c>
      <c r="C519" t="str">
        <f t="shared" si="22"/>
        <v>FFDFD3C0</v>
      </c>
      <c r="D519" t="s">
        <v>133</v>
      </c>
      <c r="E519">
        <v>44</v>
      </c>
      <c r="H519">
        <v>131</v>
      </c>
      <c r="I519" t="s">
        <v>134</v>
      </c>
      <c r="J519" t="s">
        <v>135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"14:44:48.070"</f>
        <v>14:44:48.070</v>
      </c>
      <c r="T519" t="str">
        <f>"14:44:47.570"</f>
        <v>14:44:47.570</v>
      </c>
      <c r="U519" t="str">
        <f t="shared" si="24"/>
        <v>A0F928</v>
      </c>
      <c r="V519">
        <v>0</v>
      </c>
      <c r="W519">
        <v>0</v>
      </c>
      <c r="X519">
        <v>2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1</v>
      </c>
      <c r="AI519" t="s">
        <v>382</v>
      </c>
      <c r="AJ519">
        <v>35.812081999999997</v>
      </c>
      <c r="AK519" t="s">
        <v>383</v>
      </c>
      <c r="AL519">
        <v>-83.949859000000004</v>
      </c>
      <c r="AM519">
        <v>25</v>
      </c>
      <c r="AN519">
        <v>1575</v>
      </c>
      <c r="AO519" t="s">
        <v>118</v>
      </c>
      <c r="AP519">
        <v>95</v>
      </c>
      <c r="AQ519">
        <v>76</v>
      </c>
      <c r="AR519">
        <v>64</v>
      </c>
      <c r="AZ519">
        <v>300</v>
      </c>
      <c r="BA519">
        <v>1</v>
      </c>
      <c r="BB519" t="str">
        <f t="shared" si="23"/>
        <v xml:space="preserve">N162AM  </v>
      </c>
      <c r="BC519">
        <v>1</v>
      </c>
      <c r="BE519">
        <v>0</v>
      </c>
      <c r="BF519">
        <v>0</v>
      </c>
      <c r="BG519">
        <v>0</v>
      </c>
      <c r="BH519">
        <v>1825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>"14:44:48.077"</f>
        <v>14:44:48.077</v>
      </c>
      <c r="CJ519">
        <v>3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119</v>
      </c>
      <c r="CQ519">
        <v>232</v>
      </c>
      <c r="CR519">
        <v>1</v>
      </c>
      <c r="CW519">
        <v>15021541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1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"12/16/2021 14:44:48.380"</f>
        <v>12/16/2021 14:44:48.380</v>
      </c>
      <c r="C520" t="str">
        <f t="shared" si="22"/>
        <v>FFDFD3C0</v>
      </c>
      <c r="D520" t="s">
        <v>124</v>
      </c>
      <c r="E520">
        <v>5</v>
      </c>
      <c r="F520">
        <v>1005</v>
      </c>
      <c r="G520" t="s">
        <v>114</v>
      </c>
      <c r="J520" t="s">
        <v>125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"14:44:48.070"</f>
        <v>14:44:48.070</v>
      </c>
      <c r="T520" t="str">
        <f>"14:44:47.570"</f>
        <v>14:44:47.570</v>
      </c>
      <c r="U520" t="str">
        <f t="shared" si="24"/>
        <v>A0F928</v>
      </c>
      <c r="V520">
        <v>0</v>
      </c>
      <c r="W520">
        <v>0</v>
      </c>
      <c r="X520">
        <v>2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1</v>
      </c>
      <c r="AI520" t="s">
        <v>382</v>
      </c>
      <c r="AJ520">
        <v>35.812081999999997</v>
      </c>
      <c r="AK520" t="s">
        <v>383</v>
      </c>
      <c r="AL520">
        <v>-83.949859000000004</v>
      </c>
      <c r="AM520">
        <v>25</v>
      </c>
      <c r="AN520">
        <v>1575</v>
      </c>
      <c r="AO520" t="s">
        <v>118</v>
      </c>
      <c r="AP520">
        <v>95</v>
      </c>
      <c r="AQ520">
        <v>76</v>
      </c>
      <c r="AR520">
        <v>64</v>
      </c>
      <c r="AZ520">
        <v>300</v>
      </c>
      <c r="BA520">
        <v>1</v>
      </c>
      <c r="BB520" t="str">
        <f t="shared" si="23"/>
        <v xml:space="preserve">N162AM  </v>
      </c>
      <c r="BC520">
        <v>1</v>
      </c>
      <c r="BE520">
        <v>0</v>
      </c>
      <c r="BF520">
        <v>0</v>
      </c>
      <c r="BG520">
        <v>0</v>
      </c>
      <c r="BH520">
        <v>1825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>"14:44:48.077"</f>
        <v>14:44:48.077</v>
      </c>
      <c r="CJ520">
        <v>3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119</v>
      </c>
      <c r="CQ520">
        <v>232</v>
      </c>
      <c r="CR520">
        <v>1</v>
      </c>
      <c r="CW520">
        <v>15021541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1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"12/16/2021 14:44:48.380"</f>
        <v>12/16/2021 14:44:48.380</v>
      </c>
      <c r="C521" t="str">
        <f t="shared" si="22"/>
        <v>FFDFD3C0</v>
      </c>
      <c r="D521" t="s">
        <v>124</v>
      </c>
      <c r="E521">
        <v>10</v>
      </c>
      <c r="F521">
        <v>1010</v>
      </c>
      <c r="G521" t="s">
        <v>130</v>
      </c>
      <c r="J521" t="s">
        <v>125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"14:44:48.070"</f>
        <v>14:44:48.070</v>
      </c>
      <c r="T521" t="str">
        <f>"14:44:47.570"</f>
        <v>14:44:47.570</v>
      </c>
      <c r="U521" t="str">
        <f t="shared" si="24"/>
        <v>A0F928</v>
      </c>
      <c r="V521">
        <v>0</v>
      </c>
      <c r="W521">
        <v>0</v>
      </c>
      <c r="X521">
        <v>2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0</v>
      </c>
      <c r="AG521">
        <v>2</v>
      </c>
      <c r="AH521">
        <v>1</v>
      </c>
      <c r="AI521" t="s">
        <v>382</v>
      </c>
      <c r="AJ521">
        <v>35.812081999999997</v>
      </c>
      <c r="AK521" t="s">
        <v>383</v>
      </c>
      <c r="AL521">
        <v>-83.949859000000004</v>
      </c>
      <c r="AM521">
        <v>25</v>
      </c>
      <c r="AN521">
        <v>1575</v>
      </c>
      <c r="AO521" t="s">
        <v>118</v>
      </c>
      <c r="AP521">
        <v>95</v>
      </c>
      <c r="AQ521">
        <v>76</v>
      </c>
      <c r="AR521">
        <v>64</v>
      </c>
      <c r="AZ521">
        <v>300</v>
      </c>
      <c r="BA521">
        <v>1</v>
      </c>
      <c r="BB521" t="str">
        <f t="shared" si="23"/>
        <v xml:space="preserve">N162AM  </v>
      </c>
      <c r="BC521">
        <v>1</v>
      </c>
      <c r="BE521">
        <v>0</v>
      </c>
      <c r="BF521">
        <v>0</v>
      </c>
      <c r="BG521">
        <v>0</v>
      </c>
      <c r="BH521">
        <v>1825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>"14:44:48.077"</f>
        <v>14:44:48.077</v>
      </c>
      <c r="CJ521">
        <v>2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119</v>
      </c>
      <c r="CQ521">
        <v>232</v>
      </c>
      <c r="CR521">
        <v>1</v>
      </c>
      <c r="CW521">
        <v>15021541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1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"12/16/2021 14:44:49.225"</f>
        <v>12/16/2021 14:44:49.225</v>
      </c>
      <c r="C522" t="str">
        <f t="shared" si="22"/>
        <v>FFDFD3C0</v>
      </c>
      <c r="D522" t="s">
        <v>124</v>
      </c>
      <c r="E522">
        <v>5</v>
      </c>
      <c r="F522">
        <v>1005</v>
      </c>
      <c r="G522" t="s">
        <v>114</v>
      </c>
      <c r="J522" t="s">
        <v>125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"14:44:49.055"</f>
        <v>14:44:49.055</v>
      </c>
      <c r="T522" t="str">
        <f>"14:44:48.655"</f>
        <v>14:44:48.655</v>
      </c>
      <c r="U522" t="str">
        <f t="shared" si="24"/>
        <v>A0F928</v>
      </c>
      <c r="V522">
        <v>0</v>
      </c>
      <c r="W522">
        <v>0</v>
      </c>
      <c r="X522">
        <v>2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1</v>
      </c>
      <c r="AI522" t="s">
        <v>384</v>
      </c>
      <c r="AJ522">
        <v>35.812404000000001</v>
      </c>
      <c r="AK522" t="s">
        <v>385</v>
      </c>
      <c r="AL522">
        <v>-83.949343999999996</v>
      </c>
      <c r="AM522">
        <v>25</v>
      </c>
      <c r="AN522">
        <v>1575</v>
      </c>
      <c r="AO522" t="s">
        <v>118</v>
      </c>
      <c r="AP522">
        <v>98</v>
      </c>
      <c r="AQ522">
        <v>71</v>
      </c>
      <c r="AR522">
        <v>64</v>
      </c>
      <c r="AZ522">
        <v>300</v>
      </c>
      <c r="BA522">
        <v>1</v>
      </c>
      <c r="BB522" t="str">
        <f t="shared" si="23"/>
        <v xml:space="preserve">N162AM  </v>
      </c>
      <c r="BC522">
        <v>1</v>
      </c>
      <c r="BE522">
        <v>0</v>
      </c>
      <c r="BF522">
        <v>0</v>
      </c>
      <c r="BG522">
        <v>0</v>
      </c>
      <c r="BH522">
        <v>1825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>"14:44:49.058"</f>
        <v>14:44:49.058</v>
      </c>
      <c r="CJ522">
        <v>3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119</v>
      </c>
      <c r="CQ522">
        <v>232</v>
      </c>
      <c r="CR522">
        <v>1</v>
      </c>
      <c r="CW522">
        <v>15023055</v>
      </c>
      <c r="CY522">
        <v>1</v>
      </c>
      <c r="CZ522">
        <v>0</v>
      </c>
      <c r="DA522">
        <v>0</v>
      </c>
      <c r="DB522">
        <v>0</v>
      </c>
      <c r="DC522">
        <v>0</v>
      </c>
      <c r="DD522">
        <v>1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"12/16/2021 14:44:49.225"</f>
        <v>12/16/2021 14:44:49.225</v>
      </c>
      <c r="C523" t="str">
        <f t="shared" si="22"/>
        <v>FFDFD3C0</v>
      </c>
      <c r="D523" t="s">
        <v>124</v>
      </c>
      <c r="E523">
        <v>10</v>
      </c>
      <c r="F523">
        <v>1010</v>
      </c>
      <c r="G523" t="s">
        <v>130</v>
      </c>
      <c r="J523" t="s">
        <v>125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"14:44:49.055"</f>
        <v>14:44:49.055</v>
      </c>
      <c r="T523" t="str">
        <f>"14:44:48.655"</f>
        <v>14:44:48.655</v>
      </c>
      <c r="U523" t="str">
        <f t="shared" si="24"/>
        <v>A0F928</v>
      </c>
      <c r="V523">
        <v>0</v>
      </c>
      <c r="W523">
        <v>0</v>
      </c>
      <c r="X523">
        <v>2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0</v>
      </c>
      <c r="AG523">
        <v>2</v>
      </c>
      <c r="AH523">
        <v>1</v>
      </c>
      <c r="AI523" t="s">
        <v>384</v>
      </c>
      <c r="AJ523">
        <v>35.812404000000001</v>
      </c>
      <c r="AK523" t="s">
        <v>385</v>
      </c>
      <c r="AL523">
        <v>-83.949343999999996</v>
      </c>
      <c r="AM523">
        <v>25</v>
      </c>
      <c r="AN523">
        <v>1575</v>
      </c>
      <c r="AO523" t="s">
        <v>118</v>
      </c>
      <c r="AP523">
        <v>98</v>
      </c>
      <c r="AQ523">
        <v>71</v>
      </c>
      <c r="AR523">
        <v>64</v>
      </c>
      <c r="AZ523">
        <v>300</v>
      </c>
      <c r="BA523">
        <v>1</v>
      </c>
      <c r="BB523" t="str">
        <f t="shared" si="23"/>
        <v xml:space="preserve">N162AM  </v>
      </c>
      <c r="BC523">
        <v>1</v>
      </c>
      <c r="BE523">
        <v>0</v>
      </c>
      <c r="BF523">
        <v>0</v>
      </c>
      <c r="BG523">
        <v>0</v>
      </c>
      <c r="BH523">
        <v>1825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>"14:44:49.058"</f>
        <v>14:44:49.058</v>
      </c>
      <c r="CJ523">
        <v>2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119</v>
      </c>
      <c r="CQ523">
        <v>232</v>
      </c>
      <c r="CR523">
        <v>1</v>
      </c>
      <c r="CW523">
        <v>15023055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1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"12/16/2021 14:44:49.241"</f>
        <v>12/16/2021 14:44:49.241</v>
      </c>
      <c r="C524" t="str">
        <f t="shared" ref="C524:C587" si="25">"FFDFD3C0"</f>
        <v>FFDFD3C0</v>
      </c>
      <c r="D524" t="s">
        <v>113</v>
      </c>
      <c r="E524">
        <v>8</v>
      </c>
      <c r="H524">
        <v>176</v>
      </c>
      <c r="I524" t="s">
        <v>114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"14:44:49.055"</f>
        <v>14:44:49.055</v>
      </c>
      <c r="T524" t="str">
        <f>"14:44:48.655"</f>
        <v>14:44:48.655</v>
      </c>
      <c r="U524" t="str">
        <f t="shared" si="24"/>
        <v>A0F928</v>
      </c>
      <c r="V524">
        <v>0</v>
      </c>
      <c r="W524">
        <v>0</v>
      </c>
      <c r="X524">
        <v>2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1</v>
      </c>
      <c r="AI524" t="s">
        <v>384</v>
      </c>
      <c r="AJ524">
        <v>35.812404000000001</v>
      </c>
      <c r="AK524" t="s">
        <v>385</v>
      </c>
      <c r="AL524">
        <v>-83.949343999999996</v>
      </c>
      <c r="AM524">
        <v>25</v>
      </c>
      <c r="AN524">
        <v>1575</v>
      </c>
      <c r="AO524" t="s">
        <v>118</v>
      </c>
      <c r="AP524">
        <v>98</v>
      </c>
      <c r="AQ524">
        <v>71</v>
      </c>
      <c r="AR524">
        <v>64</v>
      </c>
      <c r="AZ524">
        <v>300</v>
      </c>
      <c r="BA524">
        <v>1</v>
      </c>
      <c r="BB524" t="str">
        <f t="shared" ref="BB524:BB587" si="26">"N162AM  "</f>
        <v xml:space="preserve">N162AM  </v>
      </c>
      <c r="BC524">
        <v>1</v>
      </c>
      <c r="BE524">
        <v>0</v>
      </c>
      <c r="BF524">
        <v>0</v>
      </c>
      <c r="BG524">
        <v>0</v>
      </c>
      <c r="BH524">
        <v>1825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>"14:44:49.058"</f>
        <v>14:44:49.058</v>
      </c>
      <c r="CJ524">
        <v>3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119</v>
      </c>
      <c r="CQ524">
        <v>232</v>
      </c>
      <c r="CR524">
        <v>1</v>
      </c>
      <c r="CW524">
        <v>15023055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1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"12/16/2021 14:44:49.303"</f>
        <v>12/16/2021 14:44:49.303</v>
      </c>
      <c r="C525" t="str">
        <f t="shared" si="25"/>
        <v>FFDFD3C0</v>
      </c>
      <c r="D525" t="s">
        <v>133</v>
      </c>
      <c r="E525">
        <v>44</v>
      </c>
      <c r="H525">
        <v>131</v>
      </c>
      <c r="I525" t="s">
        <v>134</v>
      </c>
      <c r="J525" t="s">
        <v>135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"14:44:49.055"</f>
        <v>14:44:49.055</v>
      </c>
      <c r="T525" t="str">
        <f>"14:44:48.655"</f>
        <v>14:44:48.655</v>
      </c>
      <c r="U525" t="str">
        <f t="shared" si="24"/>
        <v>A0F928</v>
      </c>
      <c r="V525">
        <v>0</v>
      </c>
      <c r="W525">
        <v>0</v>
      </c>
      <c r="X525">
        <v>2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1</v>
      </c>
      <c r="AI525" t="s">
        <v>384</v>
      </c>
      <c r="AJ525">
        <v>35.812404000000001</v>
      </c>
      <c r="AK525" t="s">
        <v>385</v>
      </c>
      <c r="AL525">
        <v>-83.949343999999996</v>
      </c>
      <c r="AM525">
        <v>25</v>
      </c>
      <c r="AN525">
        <v>1575</v>
      </c>
      <c r="AO525" t="s">
        <v>118</v>
      </c>
      <c r="AP525">
        <v>98</v>
      </c>
      <c r="AQ525">
        <v>71</v>
      </c>
      <c r="AR525">
        <v>64</v>
      </c>
      <c r="AZ525">
        <v>300</v>
      </c>
      <c r="BA525">
        <v>1</v>
      </c>
      <c r="BB525" t="str">
        <f t="shared" si="26"/>
        <v xml:space="preserve">N162AM  </v>
      </c>
      <c r="BC525">
        <v>1</v>
      </c>
      <c r="BE525">
        <v>0</v>
      </c>
      <c r="BF525">
        <v>0</v>
      </c>
      <c r="BG525">
        <v>0</v>
      </c>
      <c r="BH525">
        <v>1825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>"14:44:49.058"</f>
        <v>14:44:49.058</v>
      </c>
      <c r="CJ525">
        <v>3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119</v>
      </c>
      <c r="CQ525">
        <v>232</v>
      </c>
      <c r="CR525">
        <v>1</v>
      </c>
      <c r="CW525">
        <v>15023055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1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"12/16/2021 14:44:50.318"</f>
        <v>12/16/2021 14:44:50.318</v>
      </c>
      <c r="C526" t="str">
        <f t="shared" si="25"/>
        <v>FFDFD3C0</v>
      </c>
      <c r="D526" t="s">
        <v>113</v>
      </c>
      <c r="E526">
        <v>8</v>
      </c>
      <c r="H526">
        <v>176</v>
      </c>
      <c r="I526" t="s">
        <v>114</v>
      </c>
      <c r="J526" t="s">
        <v>115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"14:44:50.047"</f>
        <v>14:44:50.047</v>
      </c>
      <c r="T526" t="str">
        <f>"14:44:49.547"</f>
        <v>14:44:49.547</v>
      </c>
      <c r="U526" t="str">
        <f t="shared" si="24"/>
        <v>A0F928</v>
      </c>
      <c r="V526">
        <v>0</v>
      </c>
      <c r="W526">
        <v>0</v>
      </c>
      <c r="X526">
        <v>2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1</v>
      </c>
      <c r="AI526" t="s">
        <v>386</v>
      </c>
      <c r="AJ526">
        <v>35.812683</v>
      </c>
      <c r="AK526" t="s">
        <v>387</v>
      </c>
      <c r="AL526">
        <v>-83.948742999999993</v>
      </c>
      <c r="AM526">
        <v>25</v>
      </c>
      <c r="AN526">
        <v>1575</v>
      </c>
      <c r="AO526" t="s">
        <v>118</v>
      </c>
      <c r="AP526">
        <v>101</v>
      </c>
      <c r="AQ526">
        <v>65</v>
      </c>
      <c r="AR526">
        <v>128</v>
      </c>
      <c r="AZ526">
        <v>300</v>
      </c>
      <c r="BA526">
        <v>1</v>
      </c>
      <c r="BB526" t="str">
        <f t="shared" si="26"/>
        <v xml:space="preserve">N162AM  </v>
      </c>
      <c r="BC526">
        <v>1</v>
      </c>
      <c r="BE526">
        <v>0</v>
      </c>
      <c r="BF526">
        <v>0</v>
      </c>
      <c r="BG526">
        <v>0</v>
      </c>
      <c r="BH526">
        <v>1825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>"14:44:50.050"</f>
        <v>14:44:50.050</v>
      </c>
      <c r="CJ526">
        <v>3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119</v>
      </c>
      <c r="CQ526">
        <v>232</v>
      </c>
      <c r="CR526">
        <v>1</v>
      </c>
      <c r="CW526">
        <v>15024731</v>
      </c>
      <c r="CY526">
        <v>1</v>
      </c>
      <c r="CZ526">
        <v>0</v>
      </c>
      <c r="DA526">
        <v>0</v>
      </c>
      <c r="DB526">
        <v>0</v>
      </c>
      <c r="DC526">
        <v>0</v>
      </c>
      <c r="DD526">
        <v>1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"12/16/2021 14:44:50.318"</f>
        <v>12/16/2021 14:44:50.318</v>
      </c>
      <c r="C527" t="str">
        <f t="shared" si="25"/>
        <v>FFDFD3C0</v>
      </c>
      <c r="D527" t="s">
        <v>124</v>
      </c>
      <c r="E527">
        <v>10</v>
      </c>
      <c r="F527">
        <v>1010</v>
      </c>
      <c r="G527" t="s">
        <v>130</v>
      </c>
      <c r="J527" t="s">
        <v>125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"14:44:50.047"</f>
        <v>14:44:50.047</v>
      </c>
      <c r="T527" t="str">
        <f>"14:44:49.547"</f>
        <v>14:44:49.547</v>
      </c>
      <c r="U527" t="str">
        <f t="shared" si="24"/>
        <v>A0F928</v>
      </c>
      <c r="V527">
        <v>0</v>
      </c>
      <c r="W527">
        <v>0</v>
      </c>
      <c r="X527">
        <v>2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0</v>
      </c>
      <c r="AG527">
        <v>2</v>
      </c>
      <c r="AH527">
        <v>1</v>
      </c>
      <c r="AI527" t="s">
        <v>386</v>
      </c>
      <c r="AJ527">
        <v>35.812683</v>
      </c>
      <c r="AK527" t="s">
        <v>387</v>
      </c>
      <c r="AL527">
        <v>-83.948742999999993</v>
      </c>
      <c r="AM527">
        <v>25</v>
      </c>
      <c r="AN527">
        <v>1575</v>
      </c>
      <c r="AO527" t="s">
        <v>118</v>
      </c>
      <c r="AP527">
        <v>101</v>
      </c>
      <c r="AQ527">
        <v>65</v>
      </c>
      <c r="AR527">
        <v>128</v>
      </c>
      <c r="AZ527">
        <v>300</v>
      </c>
      <c r="BA527">
        <v>1</v>
      </c>
      <c r="BB527" t="str">
        <f t="shared" si="26"/>
        <v xml:space="preserve">N162AM  </v>
      </c>
      <c r="BC527">
        <v>1</v>
      </c>
      <c r="BE527">
        <v>0</v>
      </c>
      <c r="BF527">
        <v>0</v>
      </c>
      <c r="BG527">
        <v>0</v>
      </c>
      <c r="BH527">
        <v>1825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>"14:44:50.050"</f>
        <v>14:44:50.050</v>
      </c>
      <c r="CJ527">
        <v>2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232</v>
      </c>
      <c r="CR527">
        <v>1</v>
      </c>
      <c r="CW527">
        <v>15024731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1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"12/16/2021 14:44:50.318"</f>
        <v>12/16/2021 14:44:50.318</v>
      </c>
      <c r="C528" t="str">
        <f t="shared" si="25"/>
        <v>FFDFD3C0</v>
      </c>
      <c r="D528" t="s">
        <v>133</v>
      </c>
      <c r="E528">
        <v>44</v>
      </c>
      <c r="H528">
        <v>131</v>
      </c>
      <c r="I528" t="s">
        <v>134</v>
      </c>
      <c r="J528" t="s">
        <v>135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"14:44:50.047"</f>
        <v>14:44:50.047</v>
      </c>
      <c r="T528" t="str">
        <f>"14:44:49.547"</f>
        <v>14:44:49.547</v>
      </c>
      <c r="U528" t="str">
        <f t="shared" si="24"/>
        <v>A0F928</v>
      </c>
      <c r="V528">
        <v>0</v>
      </c>
      <c r="W528">
        <v>0</v>
      </c>
      <c r="X528">
        <v>2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1</v>
      </c>
      <c r="AI528" t="s">
        <v>386</v>
      </c>
      <c r="AJ528">
        <v>35.812683</v>
      </c>
      <c r="AK528" t="s">
        <v>387</v>
      </c>
      <c r="AL528">
        <v>-83.948742999999993</v>
      </c>
      <c r="AM528">
        <v>25</v>
      </c>
      <c r="AN528">
        <v>1575</v>
      </c>
      <c r="AO528" t="s">
        <v>118</v>
      </c>
      <c r="AP528">
        <v>101</v>
      </c>
      <c r="AQ528">
        <v>65</v>
      </c>
      <c r="AR528">
        <v>128</v>
      </c>
      <c r="AZ528">
        <v>300</v>
      </c>
      <c r="BA528">
        <v>1</v>
      </c>
      <c r="BB528" t="str">
        <f t="shared" si="26"/>
        <v xml:space="preserve">N162AM  </v>
      </c>
      <c r="BC528">
        <v>1</v>
      </c>
      <c r="BE528">
        <v>0</v>
      </c>
      <c r="BF528">
        <v>0</v>
      </c>
      <c r="BG528">
        <v>0</v>
      </c>
      <c r="BH528">
        <v>1825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>"14:44:50.050"</f>
        <v>14:44:50.050</v>
      </c>
      <c r="CJ528">
        <v>3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232</v>
      </c>
      <c r="CR528">
        <v>1</v>
      </c>
      <c r="CW528">
        <v>15024731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1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"12/16/2021 14:44:50.318"</f>
        <v>12/16/2021 14:44:50.318</v>
      </c>
      <c r="C529" t="str">
        <f t="shared" si="25"/>
        <v>FFDFD3C0</v>
      </c>
      <c r="D529" t="s">
        <v>124</v>
      </c>
      <c r="E529">
        <v>5</v>
      </c>
      <c r="F529">
        <v>1005</v>
      </c>
      <c r="G529" t="s">
        <v>114</v>
      </c>
      <c r="J529" t="s">
        <v>125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"14:44:50.047"</f>
        <v>14:44:50.047</v>
      </c>
      <c r="T529" t="str">
        <f>"14:44:49.547"</f>
        <v>14:44:49.547</v>
      </c>
      <c r="U529" t="str">
        <f t="shared" si="24"/>
        <v>A0F928</v>
      </c>
      <c r="V529">
        <v>0</v>
      </c>
      <c r="W529">
        <v>0</v>
      </c>
      <c r="X529">
        <v>2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1</v>
      </c>
      <c r="AI529" t="s">
        <v>386</v>
      </c>
      <c r="AJ529">
        <v>35.812683</v>
      </c>
      <c r="AK529" t="s">
        <v>387</v>
      </c>
      <c r="AL529">
        <v>-83.948742999999993</v>
      </c>
      <c r="AM529">
        <v>25</v>
      </c>
      <c r="AN529">
        <v>1575</v>
      </c>
      <c r="AO529" t="s">
        <v>118</v>
      </c>
      <c r="AP529">
        <v>101</v>
      </c>
      <c r="AQ529">
        <v>65</v>
      </c>
      <c r="AR529">
        <v>128</v>
      </c>
      <c r="AZ529">
        <v>300</v>
      </c>
      <c r="BA529">
        <v>1</v>
      </c>
      <c r="BB529" t="str">
        <f t="shared" si="26"/>
        <v xml:space="preserve">N162AM  </v>
      </c>
      <c r="BC529">
        <v>1</v>
      </c>
      <c r="BE529">
        <v>0</v>
      </c>
      <c r="BF529">
        <v>0</v>
      </c>
      <c r="BG529">
        <v>0</v>
      </c>
      <c r="BH529">
        <v>1825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>"14:44:50.050"</f>
        <v>14:44:50.050</v>
      </c>
      <c r="CJ529">
        <v>3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232</v>
      </c>
      <c r="CR529">
        <v>1</v>
      </c>
      <c r="CW529">
        <v>15024731</v>
      </c>
      <c r="CY529">
        <v>1</v>
      </c>
      <c r="CZ529">
        <v>0</v>
      </c>
      <c r="DA529">
        <v>1</v>
      </c>
      <c r="DB529">
        <v>0</v>
      </c>
      <c r="DC529">
        <v>0</v>
      </c>
      <c r="DD529">
        <v>1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"12/16/2021 14:44:51.724"</f>
        <v>12/16/2021 14:44:51.724</v>
      </c>
      <c r="C530" t="str">
        <f t="shared" si="25"/>
        <v>FFDFD3C0</v>
      </c>
      <c r="D530" t="s">
        <v>113</v>
      </c>
      <c r="E530">
        <v>8</v>
      </c>
      <c r="H530">
        <v>176</v>
      </c>
      <c r="I530" t="s">
        <v>114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"14:44:51.508"</f>
        <v>14:44:51.508</v>
      </c>
      <c r="T530" t="str">
        <f>"14:44:51.008"</f>
        <v>14:44:51.008</v>
      </c>
      <c r="U530" t="str">
        <f t="shared" si="24"/>
        <v>A0F928</v>
      </c>
      <c r="V530">
        <v>0</v>
      </c>
      <c r="W530">
        <v>0</v>
      </c>
      <c r="X530">
        <v>2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1</v>
      </c>
      <c r="AI530" t="s">
        <v>388</v>
      </c>
      <c r="AJ530">
        <v>35.813048000000002</v>
      </c>
      <c r="AK530" t="s">
        <v>389</v>
      </c>
      <c r="AL530">
        <v>-83.947928000000005</v>
      </c>
      <c r="AM530">
        <v>25</v>
      </c>
      <c r="AN530">
        <v>1575</v>
      </c>
      <c r="AO530" t="s">
        <v>118</v>
      </c>
      <c r="AP530">
        <v>104</v>
      </c>
      <c r="AQ530">
        <v>56</v>
      </c>
      <c r="AR530">
        <v>192</v>
      </c>
      <c r="AZ530">
        <v>300</v>
      </c>
      <c r="BA530">
        <v>1</v>
      </c>
      <c r="BB530" t="str">
        <f t="shared" si="26"/>
        <v xml:space="preserve">N162AM  </v>
      </c>
      <c r="BC530">
        <v>1</v>
      </c>
      <c r="BE530">
        <v>0</v>
      </c>
      <c r="BF530">
        <v>0</v>
      </c>
      <c r="BG530">
        <v>0</v>
      </c>
      <c r="BH530">
        <v>1825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>"14:44:51.514"</f>
        <v>14:44:51.514</v>
      </c>
      <c r="CJ530">
        <v>3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119</v>
      </c>
      <c r="CQ530">
        <v>232</v>
      </c>
      <c r="CR530">
        <v>1</v>
      </c>
      <c r="CW530">
        <v>15027136</v>
      </c>
      <c r="CY530">
        <v>1</v>
      </c>
      <c r="CZ530">
        <v>0</v>
      </c>
      <c r="DA530">
        <v>0</v>
      </c>
      <c r="DB530">
        <v>0</v>
      </c>
      <c r="DC530">
        <v>0</v>
      </c>
      <c r="DD530">
        <v>1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"12/16/2021 14:44:51.755"</f>
        <v>12/16/2021 14:44:51.755</v>
      </c>
      <c r="C531" t="str">
        <f t="shared" si="25"/>
        <v>FFDFD3C0</v>
      </c>
      <c r="D531" t="s">
        <v>133</v>
      </c>
      <c r="E531">
        <v>44</v>
      </c>
      <c r="H531">
        <v>131</v>
      </c>
      <c r="I531" t="s">
        <v>134</v>
      </c>
      <c r="J531" t="s">
        <v>135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"14:44:51.508"</f>
        <v>14:44:51.508</v>
      </c>
      <c r="T531" t="str">
        <f>"14:44:51.008"</f>
        <v>14:44:51.008</v>
      </c>
      <c r="U531" t="str">
        <f t="shared" si="24"/>
        <v>A0F928</v>
      </c>
      <c r="V531">
        <v>0</v>
      </c>
      <c r="W531">
        <v>0</v>
      </c>
      <c r="X531">
        <v>2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1</v>
      </c>
      <c r="AI531" t="s">
        <v>388</v>
      </c>
      <c r="AJ531">
        <v>35.813048000000002</v>
      </c>
      <c r="AK531" t="s">
        <v>389</v>
      </c>
      <c r="AL531">
        <v>-83.947928000000005</v>
      </c>
      <c r="AM531">
        <v>25</v>
      </c>
      <c r="AN531">
        <v>1575</v>
      </c>
      <c r="AO531" t="s">
        <v>118</v>
      </c>
      <c r="AP531">
        <v>104</v>
      </c>
      <c r="AQ531">
        <v>56</v>
      </c>
      <c r="AR531">
        <v>192</v>
      </c>
      <c r="AZ531">
        <v>300</v>
      </c>
      <c r="BA531">
        <v>1</v>
      </c>
      <c r="BB531" t="str">
        <f t="shared" si="26"/>
        <v xml:space="preserve">N162AM  </v>
      </c>
      <c r="BC531">
        <v>1</v>
      </c>
      <c r="BE531">
        <v>0</v>
      </c>
      <c r="BF531">
        <v>0</v>
      </c>
      <c r="BG531">
        <v>0</v>
      </c>
      <c r="BH531">
        <v>1825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>"14:44:51.514"</f>
        <v>14:44:51.514</v>
      </c>
      <c r="CJ531">
        <v>3</v>
      </c>
      <c r="CK531">
        <v>2</v>
      </c>
      <c r="CL531">
        <v>0</v>
      </c>
      <c r="CM531">
        <v>2</v>
      </c>
      <c r="CN531">
        <v>0</v>
      </c>
      <c r="CO531">
        <v>7</v>
      </c>
      <c r="CP531" t="s">
        <v>119</v>
      </c>
      <c r="CQ531">
        <v>232</v>
      </c>
      <c r="CR531">
        <v>1</v>
      </c>
      <c r="CW531">
        <v>15027136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1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"12/16/2021 14:44:51.755"</f>
        <v>12/16/2021 14:44:51.755</v>
      </c>
      <c r="C532" t="str">
        <f t="shared" si="25"/>
        <v>FFDFD3C0</v>
      </c>
      <c r="D532" t="s">
        <v>124</v>
      </c>
      <c r="E532">
        <v>5</v>
      </c>
      <c r="F532">
        <v>1005</v>
      </c>
      <c r="G532" t="s">
        <v>114</v>
      </c>
      <c r="J532" t="s">
        <v>125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"14:44:51.508"</f>
        <v>14:44:51.508</v>
      </c>
      <c r="T532" t="str">
        <f>"14:44:51.008"</f>
        <v>14:44:51.008</v>
      </c>
      <c r="U532" t="str">
        <f t="shared" si="24"/>
        <v>A0F928</v>
      </c>
      <c r="V532">
        <v>0</v>
      </c>
      <c r="W532">
        <v>0</v>
      </c>
      <c r="X532">
        <v>2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1</v>
      </c>
      <c r="AI532" t="s">
        <v>388</v>
      </c>
      <c r="AJ532">
        <v>35.813048000000002</v>
      </c>
      <c r="AK532" t="s">
        <v>389</v>
      </c>
      <c r="AL532">
        <v>-83.947928000000005</v>
      </c>
      <c r="AM532">
        <v>25</v>
      </c>
      <c r="AN532">
        <v>1575</v>
      </c>
      <c r="AO532" t="s">
        <v>118</v>
      </c>
      <c r="AP532">
        <v>104</v>
      </c>
      <c r="AQ532">
        <v>56</v>
      </c>
      <c r="AR532">
        <v>192</v>
      </c>
      <c r="AZ532">
        <v>300</v>
      </c>
      <c r="BA532">
        <v>1</v>
      </c>
      <c r="BB532" t="str">
        <f t="shared" si="26"/>
        <v xml:space="preserve">N162AM  </v>
      </c>
      <c r="BC532">
        <v>1</v>
      </c>
      <c r="BE532">
        <v>0</v>
      </c>
      <c r="BF532">
        <v>0</v>
      </c>
      <c r="BG532">
        <v>0</v>
      </c>
      <c r="BH532">
        <v>1825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>"14:44:51.514"</f>
        <v>14:44:51.514</v>
      </c>
      <c r="CJ532">
        <v>3</v>
      </c>
      <c r="CK532">
        <v>2</v>
      </c>
      <c r="CL532">
        <v>0</v>
      </c>
      <c r="CM532">
        <v>2</v>
      </c>
      <c r="CN532">
        <v>0</v>
      </c>
      <c r="CO532">
        <v>7</v>
      </c>
      <c r="CP532" t="s">
        <v>119</v>
      </c>
      <c r="CQ532">
        <v>232</v>
      </c>
      <c r="CR532">
        <v>1</v>
      </c>
      <c r="CW532">
        <v>15027136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1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"12/16/2021 14:44:51.755"</f>
        <v>12/16/2021 14:44:51.755</v>
      </c>
      <c r="C533" t="str">
        <f t="shared" si="25"/>
        <v>FFDFD3C0</v>
      </c>
      <c r="D533" t="s">
        <v>124</v>
      </c>
      <c r="E533">
        <v>10</v>
      </c>
      <c r="F533">
        <v>1010</v>
      </c>
      <c r="G533" t="s">
        <v>130</v>
      </c>
      <c r="J533" t="s">
        <v>125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"14:44:51.508"</f>
        <v>14:44:51.508</v>
      </c>
      <c r="T533" t="str">
        <f>"14:44:51.008"</f>
        <v>14:44:51.008</v>
      </c>
      <c r="U533" t="str">
        <f t="shared" si="24"/>
        <v>A0F928</v>
      </c>
      <c r="V533">
        <v>0</v>
      </c>
      <c r="W533">
        <v>0</v>
      </c>
      <c r="X533">
        <v>2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0</v>
      </c>
      <c r="AG533">
        <v>2</v>
      </c>
      <c r="AH533">
        <v>1</v>
      </c>
      <c r="AI533" t="s">
        <v>388</v>
      </c>
      <c r="AJ533">
        <v>35.813048000000002</v>
      </c>
      <c r="AK533" t="s">
        <v>389</v>
      </c>
      <c r="AL533">
        <v>-83.947928000000005</v>
      </c>
      <c r="AM533">
        <v>25</v>
      </c>
      <c r="AN533">
        <v>1575</v>
      </c>
      <c r="AO533" t="s">
        <v>118</v>
      </c>
      <c r="AP533">
        <v>104</v>
      </c>
      <c r="AQ533">
        <v>56</v>
      </c>
      <c r="AR533">
        <v>192</v>
      </c>
      <c r="AZ533">
        <v>300</v>
      </c>
      <c r="BA533">
        <v>1</v>
      </c>
      <c r="BB533" t="str">
        <f t="shared" si="26"/>
        <v xml:space="preserve">N162AM  </v>
      </c>
      <c r="BC533">
        <v>1</v>
      </c>
      <c r="BE533">
        <v>0</v>
      </c>
      <c r="BF533">
        <v>0</v>
      </c>
      <c r="BG533">
        <v>0</v>
      </c>
      <c r="BH533">
        <v>1825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>"14:44:51.514"</f>
        <v>14:44:51.514</v>
      </c>
      <c r="CJ533">
        <v>2</v>
      </c>
      <c r="CK533">
        <v>2</v>
      </c>
      <c r="CL533">
        <v>0</v>
      </c>
      <c r="CM533">
        <v>2</v>
      </c>
      <c r="CN533">
        <v>0</v>
      </c>
      <c r="CO533">
        <v>7</v>
      </c>
      <c r="CP533" t="s">
        <v>119</v>
      </c>
      <c r="CQ533">
        <v>232</v>
      </c>
      <c r="CR533">
        <v>1</v>
      </c>
      <c r="CW533">
        <v>15027136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1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"12/16/2021 14:44:52.771"</f>
        <v>12/16/2021 14:44:52.771</v>
      </c>
      <c r="C534" t="str">
        <f t="shared" si="25"/>
        <v>FFDFD3C0</v>
      </c>
      <c r="D534" t="s">
        <v>133</v>
      </c>
      <c r="E534">
        <v>44</v>
      </c>
      <c r="H534">
        <v>131</v>
      </c>
      <c r="I534" t="s">
        <v>134</v>
      </c>
      <c r="J534" t="s">
        <v>135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"14:44:52.586"</f>
        <v>14:44:52.586</v>
      </c>
      <c r="T534" t="str">
        <f>"14:44:52.086"</f>
        <v>14:44:52.086</v>
      </c>
      <c r="U534" t="str">
        <f t="shared" si="24"/>
        <v>A0F928</v>
      </c>
      <c r="V534">
        <v>0</v>
      </c>
      <c r="W534">
        <v>0</v>
      </c>
      <c r="X534">
        <v>2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1</v>
      </c>
      <c r="AI534" t="s">
        <v>390</v>
      </c>
      <c r="AJ534">
        <v>35.813284000000003</v>
      </c>
      <c r="AK534" t="s">
        <v>391</v>
      </c>
      <c r="AL534">
        <v>-83.947283999999996</v>
      </c>
      <c r="AM534">
        <v>25</v>
      </c>
      <c r="AN534">
        <v>1575</v>
      </c>
      <c r="AO534" t="s">
        <v>118</v>
      </c>
      <c r="AP534">
        <v>106</v>
      </c>
      <c r="AQ534">
        <v>48</v>
      </c>
      <c r="AR534">
        <v>192</v>
      </c>
      <c r="AZ534">
        <v>300</v>
      </c>
      <c r="BA534">
        <v>1</v>
      </c>
      <c r="BB534" t="str">
        <f t="shared" si="26"/>
        <v xml:space="preserve">N162AM  </v>
      </c>
      <c r="BC534">
        <v>1</v>
      </c>
      <c r="BE534">
        <v>0</v>
      </c>
      <c r="BF534">
        <v>0</v>
      </c>
      <c r="BG534">
        <v>0</v>
      </c>
      <c r="BH534">
        <v>1825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>"14:44:52.591"</f>
        <v>14:44:52.591</v>
      </c>
      <c r="CJ534">
        <v>3</v>
      </c>
      <c r="CK534">
        <v>2</v>
      </c>
      <c r="CL534">
        <v>0</v>
      </c>
      <c r="CM534">
        <v>2</v>
      </c>
      <c r="CN534">
        <v>0</v>
      </c>
      <c r="CO534">
        <v>7</v>
      </c>
      <c r="CP534" t="s">
        <v>119</v>
      </c>
      <c r="CQ534">
        <v>232</v>
      </c>
      <c r="CR534">
        <v>1</v>
      </c>
      <c r="CW534">
        <v>15028912</v>
      </c>
      <c r="CY534">
        <v>1</v>
      </c>
      <c r="CZ534">
        <v>0</v>
      </c>
      <c r="DA534">
        <v>0</v>
      </c>
      <c r="DB534">
        <v>0</v>
      </c>
      <c r="DC534">
        <v>0</v>
      </c>
      <c r="DD534">
        <v>1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"12/16/2021 14:44:52.802"</f>
        <v>12/16/2021 14:44:52.802</v>
      </c>
      <c r="C535" t="str">
        <f t="shared" si="25"/>
        <v>FFDFD3C0</v>
      </c>
      <c r="D535" t="s">
        <v>113</v>
      </c>
      <c r="E535">
        <v>8</v>
      </c>
      <c r="H535">
        <v>176</v>
      </c>
      <c r="I535" t="s">
        <v>114</v>
      </c>
      <c r="J535" t="s">
        <v>115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"14:44:52.586"</f>
        <v>14:44:52.586</v>
      </c>
      <c r="T535" t="str">
        <f>"14:44:52.086"</f>
        <v>14:44:52.086</v>
      </c>
      <c r="U535" t="str">
        <f t="shared" si="24"/>
        <v>A0F928</v>
      </c>
      <c r="V535">
        <v>0</v>
      </c>
      <c r="W535">
        <v>0</v>
      </c>
      <c r="X535">
        <v>2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1</v>
      </c>
      <c r="AI535" t="s">
        <v>390</v>
      </c>
      <c r="AJ535">
        <v>35.813284000000003</v>
      </c>
      <c r="AK535" t="s">
        <v>391</v>
      </c>
      <c r="AL535">
        <v>-83.947283999999996</v>
      </c>
      <c r="AM535">
        <v>25</v>
      </c>
      <c r="AN535">
        <v>1575</v>
      </c>
      <c r="AO535" t="s">
        <v>118</v>
      </c>
      <c r="AP535">
        <v>106</v>
      </c>
      <c r="AQ535">
        <v>48</v>
      </c>
      <c r="AR535">
        <v>192</v>
      </c>
      <c r="AZ535">
        <v>300</v>
      </c>
      <c r="BA535">
        <v>1</v>
      </c>
      <c r="BB535" t="str">
        <f t="shared" si="26"/>
        <v xml:space="preserve">N162AM  </v>
      </c>
      <c r="BC535">
        <v>1</v>
      </c>
      <c r="BE535">
        <v>0</v>
      </c>
      <c r="BF535">
        <v>0</v>
      </c>
      <c r="BG535">
        <v>0</v>
      </c>
      <c r="BH535">
        <v>1825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>"14:44:52.591"</f>
        <v>14:44:52.591</v>
      </c>
      <c r="CJ535">
        <v>3</v>
      </c>
      <c r="CK535">
        <v>2</v>
      </c>
      <c r="CL535">
        <v>0</v>
      </c>
      <c r="CM535">
        <v>2</v>
      </c>
      <c r="CN535">
        <v>0</v>
      </c>
      <c r="CO535">
        <v>7</v>
      </c>
      <c r="CP535" t="s">
        <v>119</v>
      </c>
      <c r="CQ535">
        <v>232</v>
      </c>
      <c r="CR535">
        <v>1</v>
      </c>
      <c r="CW535">
        <v>15028912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1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"12/16/2021 14:44:52.802"</f>
        <v>12/16/2021 14:44:52.802</v>
      </c>
      <c r="C536" t="str">
        <f t="shared" si="25"/>
        <v>FFDFD3C0</v>
      </c>
      <c r="D536" t="s">
        <v>124</v>
      </c>
      <c r="E536">
        <v>10</v>
      </c>
      <c r="F536">
        <v>1010</v>
      </c>
      <c r="G536" t="s">
        <v>130</v>
      </c>
      <c r="J536" t="s">
        <v>125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"14:44:52.586"</f>
        <v>14:44:52.586</v>
      </c>
      <c r="T536" t="str">
        <f>"14:44:52.086"</f>
        <v>14:44:52.086</v>
      </c>
      <c r="U536" t="str">
        <f t="shared" si="24"/>
        <v>A0F928</v>
      </c>
      <c r="V536">
        <v>0</v>
      </c>
      <c r="W536">
        <v>0</v>
      </c>
      <c r="X536">
        <v>2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0</v>
      </c>
      <c r="AG536">
        <v>2</v>
      </c>
      <c r="AH536">
        <v>1</v>
      </c>
      <c r="AI536" t="s">
        <v>390</v>
      </c>
      <c r="AJ536">
        <v>35.813284000000003</v>
      </c>
      <c r="AK536" t="s">
        <v>391</v>
      </c>
      <c r="AL536">
        <v>-83.947283999999996</v>
      </c>
      <c r="AM536">
        <v>25</v>
      </c>
      <c r="AN536">
        <v>1575</v>
      </c>
      <c r="AO536" t="s">
        <v>118</v>
      </c>
      <c r="AP536">
        <v>106</v>
      </c>
      <c r="AQ536">
        <v>48</v>
      </c>
      <c r="AR536">
        <v>192</v>
      </c>
      <c r="AZ536">
        <v>300</v>
      </c>
      <c r="BA536">
        <v>1</v>
      </c>
      <c r="BB536" t="str">
        <f t="shared" si="26"/>
        <v xml:space="preserve">N162AM  </v>
      </c>
      <c r="BC536">
        <v>1</v>
      </c>
      <c r="BE536">
        <v>0</v>
      </c>
      <c r="BF536">
        <v>0</v>
      </c>
      <c r="BG536">
        <v>0</v>
      </c>
      <c r="BH536">
        <v>1825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>"14:44:52.591"</f>
        <v>14:44:52.591</v>
      </c>
      <c r="CJ536">
        <v>2</v>
      </c>
      <c r="CK536">
        <v>2</v>
      </c>
      <c r="CL536">
        <v>0</v>
      </c>
      <c r="CM536">
        <v>2</v>
      </c>
      <c r="CN536">
        <v>0</v>
      </c>
      <c r="CO536">
        <v>7</v>
      </c>
      <c r="CP536" t="s">
        <v>119</v>
      </c>
      <c r="CQ536">
        <v>232</v>
      </c>
      <c r="CR536">
        <v>1</v>
      </c>
      <c r="CW536">
        <v>15028912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1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"12/16/2021 14:44:52.802"</f>
        <v>12/16/2021 14:44:52.802</v>
      </c>
      <c r="C537" t="str">
        <f t="shared" si="25"/>
        <v>FFDFD3C0</v>
      </c>
      <c r="D537" t="s">
        <v>124</v>
      </c>
      <c r="E537">
        <v>5</v>
      </c>
      <c r="F537">
        <v>1005</v>
      </c>
      <c r="G537" t="s">
        <v>114</v>
      </c>
      <c r="J537" t="s">
        <v>125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"14:44:52.586"</f>
        <v>14:44:52.586</v>
      </c>
      <c r="T537" t="str">
        <f>"14:44:52.086"</f>
        <v>14:44:52.086</v>
      </c>
      <c r="U537" t="str">
        <f t="shared" si="24"/>
        <v>A0F928</v>
      </c>
      <c r="V537">
        <v>0</v>
      </c>
      <c r="W537">
        <v>0</v>
      </c>
      <c r="X537">
        <v>2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1</v>
      </c>
      <c r="AI537" t="s">
        <v>390</v>
      </c>
      <c r="AJ537">
        <v>35.813284000000003</v>
      </c>
      <c r="AK537" t="s">
        <v>391</v>
      </c>
      <c r="AL537">
        <v>-83.947283999999996</v>
      </c>
      <c r="AM537">
        <v>25</v>
      </c>
      <c r="AN537">
        <v>1575</v>
      </c>
      <c r="AO537" t="s">
        <v>118</v>
      </c>
      <c r="AP537">
        <v>106</v>
      </c>
      <c r="AQ537">
        <v>48</v>
      </c>
      <c r="AR537">
        <v>192</v>
      </c>
      <c r="AZ537">
        <v>300</v>
      </c>
      <c r="BA537">
        <v>1</v>
      </c>
      <c r="BB537" t="str">
        <f t="shared" si="26"/>
        <v xml:space="preserve">N162AM  </v>
      </c>
      <c r="BC537">
        <v>1</v>
      </c>
      <c r="BE537">
        <v>0</v>
      </c>
      <c r="BF537">
        <v>0</v>
      </c>
      <c r="BG537">
        <v>0</v>
      </c>
      <c r="BH537">
        <v>1825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>"14:44:52.591"</f>
        <v>14:44:52.591</v>
      </c>
      <c r="CJ537">
        <v>3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232</v>
      </c>
      <c r="CR537">
        <v>1</v>
      </c>
      <c r="CW537">
        <v>15028912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1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"12/16/2021 14:44:54.272"</f>
        <v>12/16/2021 14:44:54.272</v>
      </c>
      <c r="C538" t="str">
        <f t="shared" si="25"/>
        <v>FFDFD3C0</v>
      </c>
      <c r="D538" t="s">
        <v>124</v>
      </c>
      <c r="E538">
        <v>10</v>
      </c>
      <c r="F538">
        <v>1010</v>
      </c>
      <c r="G538" t="s">
        <v>130</v>
      </c>
      <c r="J538" t="s">
        <v>125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"14:44:54.031"</f>
        <v>14:44:54.031</v>
      </c>
      <c r="T538" t="str">
        <f>"14:44:53.531"</f>
        <v>14:44:53.531</v>
      </c>
      <c r="U538" t="str">
        <f t="shared" si="24"/>
        <v>A0F928</v>
      </c>
      <c r="V538">
        <v>0</v>
      </c>
      <c r="W538">
        <v>0</v>
      </c>
      <c r="X538">
        <v>2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0</v>
      </c>
      <c r="AG538">
        <v>2</v>
      </c>
      <c r="AH538">
        <v>1</v>
      </c>
      <c r="AI538" t="s">
        <v>392</v>
      </c>
      <c r="AJ538">
        <v>35.813563000000002</v>
      </c>
      <c r="AK538" t="s">
        <v>393</v>
      </c>
      <c r="AL538">
        <v>-83.946426000000002</v>
      </c>
      <c r="AM538">
        <v>25</v>
      </c>
      <c r="AN538">
        <v>1600</v>
      </c>
      <c r="AO538" t="s">
        <v>118</v>
      </c>
      <c r="AP538">
        <v>108</v>
      </c>
      <c r="AQ538">
        <v>40</v>
      </c>
      <c r="AR538">
        <v>256</v>
      </c>
      <c r="AZ538">
        <v>300</v>
      </c>
      <c r="BA538">
        <v>1</v>
      </c>
      <c r="BB538" t="str">
        <f t="shared" si="26"/>
        <v xml:space="preserve">N162AM  </v>
      </c>
      <c r="BC538">
        <v>1</v>
      </c>
      <c r="BE538">
        <v>0</v>
      </c>
      <c r="BF538">
        <v>0</v>
      </c>
      <c r="BG538">
        <v>0</v>
      </c>
      <c r="BH538">
        <v>1850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>"14:44:54.036"</f>
        <v>14:44:54.036</v>
      </c>
      <c r="CJ538">
        <v>2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232</v>
      </c>
      <c r="CR538">
        <v>1</v>
      </c>
      <c r="CW538">
        <v>15031179</v>
      </c>
      <c r="CY538">
        <v>1</v>
      </c>
      <c r="CZ538">
        <v>0</v>
      </c>
      <c r="DA538">
        <v>0</v>
      </c>
      <c r="DB538">
        <v>0</v>
      </c>
      <c r="DC538">
        <v>0</v>
      </c>
      <c r="DD538">
        <v>1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"12/16/2021 14:44:54.272"</f>
        <v>12/16/2021 14:44:54.272</v>
      </c>
      <c r="C539" t="str">
        <f t="shared" si="25"/>
        <v>FFDFD3C0</v>
      </c>
      <c r="D539" t="s">
        <v>124</v>
      </c>
      <c r="E539">
        <v>5</v>
      </c>
      <c r="F539">
        <v>1005</v>
      </c>
      <c r="G539" t="s">
        <v>114</v>
      </c>
      <c r="J539" t="s">
        <v>125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"14:44:54.031"</f>
        <v>14:44:54.031</v>
      </c>
      <c r="T539" t="str">
        <f>"14:44:53.531"</f>
        <v>14:44:53.531</v>
      </c>
      <c r="U539" t="str">
        <f t="shared" si="24"/>
        <v>A0F928</v>
      </c>
      <c r="V539">
        <v>0</v>
      </c>
      <c r="W539">
        <v>0</v>
      </c>
      <c r="X539">
        <v>2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1</v>
      </c>
      <c r="AI539" t="s">
        <v>392</v>
      </c>
      <c r="AJ539">
        <v>35.813563000000002</v>
      </c>
      <c r="AK539" t="s">
        <v>393</v>
      </c>
      <c r="AL539">
        <v>-83.946426000000002</v>
      </c>
      <c r="AM539">
        <v>25</v>
      </c>
      <c r="AN539">
        <v>1600</v>
      </c>
      <c r="AO539" t="s">
        <v>118</v>
      </c>
      <c r="AP539">
        <v>108</v>
      </c>
      <c r="AQ539">
        <v>40</v>
      </c>
      <c r="AR539">
        <v>256</v>
      </c>
      <c r="AZ539">
        <v>300</v>
      </c>
      <c r="BA539">
        <v>1</v>
      </c>
      <c r="BB539" t="str">
        <f t="shared" si="26"/>
        <v xml:space="preserve">N162AM  </v>
      </c>
      <c r="BC539">
        <v>1</v>
      </c>
      <c r="BE539">
        <v>0</v>
      </c>
      <c r="BF539">
        <v>0</v>
      </c>
      <c r="BG539">
        <v>0</v>
      </c>
      <c r="BH539">
        <v>1850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>"14:44:54.036"</f>
        <v>14:44:54.036</v>
      </c>
      <c r="CJ539">
        <v>3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232</v>
      </c>
      <c r="CR539">
        <v>1</v>
      </c>
      <c r="CW539">
        <v>15031179</v>
      </c>
      <c r="CY539">
        <v>1</v>
      </c>
      <c r="CZ539">
        <v>0</v>
      </c>
      <c r="DA539">
        <v>1</v>
      </c>
      <c r="DB539">
        <v>0</v>
      </c>
      <c r="DC539">
        <v>0</v>
      </c>
      <c r="DD539">
        <v>1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"12/16/2021 14:44:54.272"</f>
        <v>12/16/2021 14:44:54.272</v>
      </c>
      <c r="C540" t="str">
        <f t="shared" si="25"/>
        <v>FFDFD3C0</v>
      </c>
      <c r="D540" t="s">
        <v>113</v>
      </c>
      <c r="E540">
        <v>8</v>
      </c>
      <c r="H540">
        <v>176</v>
      </c>
      <c r="I540" t="s">
        <v>114</v>
      </c>
      <c r="J540" t="s">
        <v>115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"14:44:54.031"</f>
        <v>14:44:54.031</v>
      </c>
      <c r="T540" t="str">
        <f>"14:44:53.531"</f>
        <v>14:44:53.531</v>
      </c>
      <c r="U540" t="str">
        <f t="shared" si="24"/>
        <v>A0F928</v>
      </c>
      <c r="V540">
        <v>0</v>
      </c>
      <c r="W540">
        <v>0</v>
      </c>
      <c r="X540">
        <v>2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1</v>
      </c>
      <c r="AI540" t="s">
        <v>392</v>
      </c>
      <c r="AJ540">
        <v>35.813563000000002</v>
      </c>
      <c r="AK540" t="s">
        <v>393</v>
      </c>
      <c r="AL540">
        <v>-83.946426000000002</v>
      </c>
      <c r="AM540">
        <v>25</v>
      </c>
      <c r="AN540">
        <v>1600</v>
      </c>
      <c r="AO540" t="s">
        <v>118</v>
      </c>
      <c r="AP540">
        <v>108</v>
      </c>
      <c r="AQ540">
        <v>40</v>
      </c>
      <c r="AR540">
        <v>256</v>
      </c>
      <c r="AZ540">
        <v>300</v>
      </c>
      <c r="BA540">
        <v>1</v>
      </c>
      <c r="BB540" t="str">
        <f t="shared" si="26"/>
        <v xml:space="preserve">N162AM  </v>
      </c>
      <c r="BC540">
        <v>1</v>
      </c>
      <c r="BE540">
        <v>0</v>
      </c>
      <c r="BF540">
        <v>0</v>
      </c>
      <c r="BG540">
        <v>0</v>
      </c>
      <c r="BH540">
        <v>1850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>"14:44:54.036"</f>
        <v>14:44:54.036</v>
      </c>
      <c r="CJ540">
        <v>3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232</v>
      </c>
      <c r="CR540">
        <v>1</v>
      </c>
      <c r="CW540">
        <v>15031179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1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"12/16/2021 14:44:54.272"</f>
        <v>12/16/2021 14:44:54.272</v>
      </c>
      <c r="C541" t="str">
        <f t="shared" si="25"/>
        <v>FFDFD3C0</v>
      </c>
      <c r="D541" t="s">
        <v>133</v>
      </c>
      <c r="E541">
        <v>44</v>
      </c>
      <c r="H541">
        <v>131</v>
      </c>
      <c r="I541" t="s">
        <v>134</v>
      </c>
      <c r="J541" t="s">
        <v>135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"14:44:54.031"</f>
        <v>14:44:54.031</v>
      </c>
      <c r="T541" t="str">
        <f>"14:44:53.531"</f>
        <v>14:44:53.531</v>
      </c>
      <c r="U541" t="str">
        <f t="shared" si="24"/>
        <v>A0F928</v>
      </c>
      <c r="V541">
        <v>0</v>
      </c>
      <c r="W541">
        <v>0</v>
      </c>
      <c r="X541">
        <v>2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1</v>
      </c>
      <c r="AI541" t="s">
        <v>392</v>
      </c>
      <c r="AJ541">
        <v>35.813563000000002</v>
      </c>
      <c r="AK541" t="s">
        <v>393</v>
      </c>
      <c r="AL541">
        <v>-83.946426000000002</v>
      </c>
      <c r="AM541">
        <v>25</v>
      </c>
      <c r="AN541">
        <v>1600</v>
      </c>
      <c r="AO541" t="s">
        <v>118</v>
      </c>
      <c r="AP541">
        <v>108</v>
      </c>
      <c r="AQ541">
        <v>40</v>
      </c>
      <c r="AR541">
        <v>256</v>
      </c>
      <c r="AZ541">
        <v>300</v>
      </c>
      <c r="BA541">
        <v>1</v>
      </c>
      <c r="BB541" t="str">
        <f t="shared" si="26"/>
        <v xml:space="preserve">N162AM  </v>
      </c>
      <c r="BC541">
        <v>1</v>
      </c>
      <c r="BE541">
        <v>0</v>
      </c>
      <c r="BF541">
        <v>0</v>
      </c>
      <c r="BG541">
        <v>0</v>
      </c>
      <c r="BH541">
        <v>1850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>"14:44:54.036"</f>
        <v>14:44:54.036</v>
      </c>
      <c r="CJ541">
        <v>3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119</v>
      </c>
      <c r="CQ541">
        <v>232</v>
      </c>
      <c r="CR541">
        <v>1</v>
      </c>
      <c r="CW541">
        <v>15031179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1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"12/16/2021 14:44:55.701"</f>
        <v>12/16/2021 14:44:55.701</v>
      </c>
      <c r="C542" t="str">
        <f t="shared" si="25"/>
        <v>FFDFD3C0</v>
      </c>
      <c r="D542" t="s">
        <v>124</v>
      </c>
      <c r="E542">
        <v>10</v>
      </c>
      <c r="F542">
        <v>1010</v>
      </c>
      <c r="G542" t="s">
        <v>130</v>
      </c>
      <c r="J542" t="s">
        <v>125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"14:44:55.352"</f>
        <v>14:44:55.352</v>
      </c>
      <c r="T542" t="str">
        <f>"14:44:54.952"</f>
        <v>14:44:54.952</v>
      </c>
      <c r="U542" t="str">
        <f t="shared" si="24"/>
        <v>A0F928</v>
      </c>
      <c r="V542">
        <v>0</v>
      </c>
      <c r="W542">
        <v>0</v>
      </c>
      <c r="X542">
        <v>2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0</v>
      </c>
      <c r="AG542">
        <v>2</v>
      </c>
      <c r="AH542">
        <v>1</v>
      </c>
      <c r="AI542" t="s">
        <v>394</v>
      </c>
      <c r="AJ542">
        <v>35.813735000000001</v>
      </c>
      <c r="AK542" t="s">
        <v>395</v>
      </c>
      <c r="AL542">
        <v>-83.945503000000002</v>
      </c>
      <c r="AM542">
        <v>25</v>
      </c>
      <c r="AN542">
        <v>1600</v>
      </c>
      <c r="AO542" t="s">
        <v>118</v>
      </c>
      <c r="AP542">
        <v>109</v>
      </c>
      <c r="AQ542">
        <v>31</v>
      </c>
      <c r="AR542">
        <v>192</v>
      </c>
      <c r="AZ542">
        <v>300</v>
      </c>
      <c r="BA542">
        <v>1</v>
      </c>
      <c r="BB542" t="str">
        <f t="shared" si="26"/>
        <v xml:space="preserve">N162AM  </v>
      </c>
      <c r="BC542">
        <v>1</v>
      </c>
      <c r="BE542">
        <v>0</v>
      </c>
      <c r="BF542">
        <v>0</v>
      </c>
      <c r="BG542">
        <v>0</v>
      </c>
      <c r="BH542">
        <v>1850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>"14:44:55.358"</f>
        <v>14:44:55.358</v>
      </c>
      <c r="CJ542">
        <v>2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119</v>
      </c>
      <c r="CQ542">
        <v>232</v>
      </c>
      <c r="CR542">
        <v>1</v>
      </c>
      <c r="CW542">
        <v>15033370</v>
      </c>
      <c r="CY542">
        <v>1</v>
      </c>
      <c r="CZ542">
        <v>0</v>
      </c>
      <c r="DA542">
        <v>0</v>
      </c>
      <c r="DB542">
        <v>0</v>
      </c>
      <c r="DC542">
        <v>0</v>
      </c>
      <c r="DD542">
        <v>1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"12/16/2021 14:44:55.701"</f>
        <v>12/16/2021 14:44:55.701</v>
      </c>
      <c r="C543" t="str">
        <f t="shared" si="25"/>
        <v>FFDFD3C0</v>
      </c>
      <c r="D543" t="s">
        <v>124</v>
      </c>
      <c r="E543">
        <v>5</v>
      </c>
      <c r="F543">
        <v>1005</v>
      </c>
      <c r="G543" t="s">
        <v>114</v>
      </c>
      <c r="J543" t="s">
        <v>125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"14:44:55.352"</f>
        <v>14:44:55.352</v>
      </c>
      <c r="T543" t="str">
        <f>"14:44:54.952"</f>
        <v>14:44:54.952</v>
      </c>
      <c r="U543" t="str">
        <f t="shared" si="24"/>
        <v>A0F928</v>
      </c>
      <c r="V543">
        <v>0</v>
      </c>
      <c r="W543">
        <v>0</v>
      </c>
      <c r="X543">
        <v>2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1</v>
      </c>
      <c r="AI543" t="s">
        <v>394</v>
      </c>
      <c r="AJ543">
        <v>35.813735000000001</v>
      </c>
      <c r="AK543" t="s">
        <v>395</v>
      </c>
      <c r="AL543">
        <v>-83.945503000000002</v>
      </c>
      <c r="AM543">
        <v>25</v>
      </c>
      <c r="AN543">
        <v>1600</v>
      </c>
      <c r="AO543" t="s">
        <v>118</v>
      </c>
      <c r="AP543">
        <v>109</v>
      </c>
      <c r="AQ543">
        <v>31</v>
      </c>
      <c r="AR543">
        <v>192</v>
      </c>
      <c r="AZ543">
        <v>300</v>
      </c>
      <c r="BA543">
        <v>1</v>
      </c>
      <c r="BB543" t="str">
        <f t="shared" si="26"/>
        <v xml:space="preserve">N162AM  </v>
      </c>
      <c r="BC543">
        <v>1</v>
      </c>
      <c r="BE543">
        <v>0</v>
      </c>
      <c r="BF543">
        <v>0</v>
      </c>
      <c r="BG543">
        <v>0</v>
      </c>
      <c r="BH543">
        <v>1850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>"14:44:55.358"</f>
        <v>14:44:55.358</v>
      </c>
      <c r="CJ543">
        <v>3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119</v>
      </c>
      <c r="CQ543">
        <v>232</v>
      </c>
      <c r="CR543">
        <v>1</v>
      </c>
      <c r="CW543">
        <v>15033370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1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"12/16/2021 14:44:55.701"</f>
        <v>12/16/2021 14:44:55.701</v>
      </c>
      <c r="C544" t="str">
        <f t="shared" si="25"/>
        <v>FFDFD3C0</v>
      </c>
      <c r="D544" t="s">
        <v>113</v>
      </c>
      <c r="E544">
        <v>8</v>
      </c>
      <c r="H544">
        <v>176</v>
      </c>
      <c r="I544" t="s">
        <v>114</v>
      </c>
      <c r="J544" t="s">
        <v>115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"14:44:55.352"</f>
        <v>14:44:55.352</v>
      </c>
      <c r="T544" t="str">
        <f>"14:44:54.952"</f>
        <v>14:44:54.952</v>
      </c>
      <c r="U544" t="str">
        <f t="shared" si="24"/>
        <v>A0F928</v>
      </c>
      <c r="V544">
        <v>0</v>
      </c>
      <c r="W544">
        <v>0</v>
      </c>
      <c r="X544">
        <v>2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1</v>
      </c>
      <c r="AI544" t="s">
        <v>394</v>
      </c>
      <c r="AJ544">
        <v>35.813735000000001</v>
      </c>
      <c r="AK544" t="s">
        <v>395</v>
      </c>
      <c r="AL544">
        <v>-83.945503000000002</v>
      </c>
      <c r="AM544">
        <v>25</v>
      </c>
      <c r="AN544">
        <v>1600</v>
      </c>
      <c r="AO544" t="s">
        <v>118</v>
      </c>
      <c r="AP544">
        <v>109</v>
      </c>
      <c r="AQ544">
        <v>31</v>
      </c>
      <c r="AR544">
        <v>192</v>
      </c>
      <c r="AZ544">
        <v>300</v>
      </c>
      <c r="BA544">
        <v>1</v>
      </c>
      <c r="BB544" t="str">
        <f t="shared" si="26"/>
        <v xml:space="preserve">N162AM  </v>
      </c>
      <c r="BC544">
        <v>1</v>
      </c>
      <c r="BE544">
        <v>0</v>
      </c>
      <c r="BF544">
        <v>0</v>
      </c>
      <c r="BG544">
        <v>0</v>
      </c>
      <c r="BH544">
        <v>1850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>"14:44:55.358"</f>
        <v>14:44:55.358</v>
      </c>
      <c r="CJ544">
        <v>3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119</v>
      </c>
      <c r="CQ544">
        <v>232</v>
      </c>
      <c r="CR544">
        <v>1</v>
      </c>
      <c r="CW544">
        <v>15033370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1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"12/16/2021 14:44:55.701"</f>
        <v>12/16/2021 14:44:55.701</v>
      </c>
      <c r="C545" t="str">
        <f t="shared" si="25"/>
        <v>FFDFD3C0</v>
      </c>
      <c r="D545" t="s">
        <v>133</v>
      </c>
      <c r="E545">
        <v>44</v>
      </c>
      <c r="H545">
        <v>131</v>
      </c>
      <c r="I545" t="s">
        <v>134</v>
      </c>
      <c r="J545" t="s">
        <v>135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"14:44:55.352"</f>
        <v>14:44:55.352</v>
      </c>
      <c r="T545" t="str">
        <f>"14:44:54.952"</f>
        <v>14:44:54.952</v>
      </c>
      <c r="U545" t="str">
        <f t="shared" si="24"/>
        <v>A0F928</v>
      </c>
      <c r="V545">
        <v>0</v>
      </c>
      <c r="W545">
        <v>0</v>
      </c>
      <c r="X545">
        <v>2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1</v>
      </c>
      <c r="AI545" t="s">
        <v>394</v>
      </c>
      <c r="AJ545">
        <v>35.813735000000001</v>
      </c>
      <c r="AK545" t="s">
        <v>395</v>
      </c>
      <c r="AL545">
        <v>-83.945503000000002</v>
      </c>
      <c r="AM545">
        <v>25</v>
      </c>
      <c r="AN545">
        <v>1600</v>
      </c>
      <c r="AO545" t="s">
        <v>118</v>
      </c>
      <c r="AP545">
        <v>109</v>
      </c>
      <c r="AQ545">
        <v>31</v>
      </c>
      <c r="AR545">
        <v>192</v>
      </c>
      <c r="AZ545">
        <v>300</v>
      </c>
      <c r="BA545">
        <v>1</v>
      </c>
      <c r="BB545" t="str">
        <f t="shared" si="26"/>
        <v xml:space="preserve">N162AM  </v>
      </c>
      <c r="BC545">
        <v>1</v>
      </c>
      <c r="BE545">
        <v>0</v>
      </c>
      <c r="BF545">
        <v>0</v>
      </c>
      <c r="BG545">
        <v>0</v>
      </c>
      <c r="BH545">
        <v>1850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>"14:44:55.358"</f>
        <v>14:44:55.358</v>
      </c>
      <c r="CJ545">
        <v>3</v>
      </c>
      <c r="CK545">
        <v>2</v>
      </c>
      <c r="CL545">
        <v>0</v>
      </c>
      <c r="CM545">
        <v>2</v>
      </c>
      <c r="CN545">
        <v>0</v>
      </c>
      <c r="CO545">
        <v>7</v>
      </c>
      <c r="CP545" t="s">
        <v>119</v>
      </c>
      <c r="CQ545">
        <v>232</v>
      </c>
      <c r="CR545">
        <v>1</v>
      </c>
      <c r="CW545">
        <v>15033370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1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"12/16/2021 14:44:56.576"</f>
        <v>12/16/2021 14:44:56.576</v>
      </c>
      <c r="C546" t="str">
        <f t="shared" si="25"/>
        <v>FFDFD3C0</v>
      </c>
      <c r="D546" t="s">
        <v>133</v>
      </c>
      <c r="E546">
        <v>44</v>
      </c>
      <c r="H546">
        <v>131</v>
      </c>
      <c r="I546" t="s">
        <v>134</v>
      </c>
      <c r="J546" t="s">
        <v>135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"14:44:56.359"</f>
        <v>14:44:56.359</v>
      </c>
      <c r="T546" t="str">
        <f>"14:44:55.859"</f>
        <v>14:44:55.859</v>
      </c>
      <c r="U546" t="str">
        <f t="shared" si="24"/>
        <v>A0F928</v>
      </c>
      <c r="V546">
        <v>0</v>
      </c>
      <c r="W546">
        <v>0</v>
      </c>
      <c r="X546">
        <v>2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1</v>
      </c>
      <c r="AI546" t="s">
        <v>396</v>
      </c>
      <c r="AJ546">
        <v>35.813862999999998</v>
      </c>
      <c r="AK546" t="s">
        <v>397</v>
      </c>
      <c r="AL546">
        <v>-83.944924</v>
      </c>
      <c r="AM546">
        <v>25</v>
      </c>
      <c r="AN546">
        <v>1600</v>
      </c>
      <c r="AO546" t="s">
        <v>118</v>
      </c>
      <c r="AP546">
        <v>109</v>
      </c>
      <c r="AQ546">
        <v>25</v>
      </c>
      <c r="AR546">
        <v>128</v>
      </c>
      <c r="AZ546">
        <v>300</v>
      </c>
      <c r="BA546">
        <v>1</v>
      </c>
      <c r="BB546" t="str">
        <f t="shared" si="26"/>
        <v xml:space="preserve">N162AM  </v>
      </c>
      <c r="BC546">
        <v>1</v>
      </c>
      <c r="BE546">
        <v>0</v>
      </c>
      <c r="BF546">
        <v>0</v>
      </c>
      <c r="BG546">
        <v>0</v>
      </c>
      <c r="BH546">
        <v>1850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>"14:44:56.364"</f>
        <v>14:44:56.364</v>
      </c>
      <c r="CJ546">
        <v>3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119</v>
      </c>
      <c r="CQ546">
        <v>232</v>
      </c>
      <c r="CR546">
        <v>1</v>
      </c>
      <c r="CW546">
        <v>15034976</v>
      </c>
      <c r="CY546">
        <v>1</v>
      </c>
      <c r="CZ546">
        <v>0</v>
      </c>
      <c r="DA546">
        <v>0</v>
      </c>
      <c r="DB546">
        <v>0</v>
      </c>
      <c r="DC546">
        <v>0</v>
      </c>
      <c r="DD546">
        <v>1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"12/16/2021 14:44:56.576"</f>
        <v>12/16/2021 14:44:56.576</v>
      </c>
      <c r="C547" t="str">
        <f t="shared" si="25"/>
        <v>FFDFD3C0</v>
      </c>
      <c r="D547" t="s">
        <v>124</v>
      </c>
      <c r="E547">
        <v>10</v>
      </c>
      <c r="F547">
        <v>1010</v>
      </c>
      <c r="G547" t="s">
        <v>130</v>
      </c>
      <c r="J547" t="s">
        <v>125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"14:44:56.359"</f>
        <v>14:44:56.359</v>
      </c>
      <c r="T547" t="str">
        <f>"14:44:55.859"</f>
        <v>14:44:55.859</v>
      </c>
      <c r="U547" t="str">
        <f t="shared" si="24"/>
        <v>A0F928</v>
      </c>
      <c r="V547">
        <v>0</v>
      </c>
      <c r="W547">
        <v>0</v>
      </c>
      <c r="X547">
        <v>2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0</v>
      </c>
      <c r="AG547">
        <v>2</v>
      </c>
      <c r="AH547">
        <v>1</v>
      </c>
      <c r="AI547" t="s">
        <v>396</v>
      </c>
      <c r="AJ547">
        <v>35.813862999999998</v>
      </c>
      <c r="AK547" t="s">
        <v>397</v>
      </c>
      <c r="AL547">
        <v>-83.944924</v>
      </c>
      <c r="AM547">
        <v>25</v>
      </c>
      <c r="AN547">
        <v>1600</v>
      </c>
      <c r="AO547" t="s">
        <v>118</v>
      </c>
      <c r="AP547">
        <v>109</v>
      </c>
      <c r="AQ547">
        <v>25</v>
      </c>
      <c r="AR547">
        <v>128</v>
      </c>
      <c r="AZ547">
        <v>300</v>
      </c>
      <c r="BA547">
        <v>1</v>
      </c>
      <c r="BB547" t="str">
        <f t="shared" si="26"/>
        <v xml:space="preserve">N162AM  </v>
      </c>
      <c r="BC547">
        <v>1</v>
      </c>
      <c r="BE547">
        <v>0</v>
      </c>
      <c r="BF547">
        <v>0</v>
      </c>
      <c r="BG547">
        <v>0</v>
      </c>
      <c r="BH547">
        <v>1850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>"14:44:56.364"</f>
        <v>14:44:56.364</v>
      </c>
      <c r="CJ547">
        <v>2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232</v>
      </c>
      <c r="CR547">
        <v>1</v>
      </c>
      <c r="CW547">
        <v>15034976</v>
      </c>
      <c r="CY547">
        <v>1</v>
      </c>
      <c r="CZ547">
        <v>0</v>
      </c>
      <c r="DA547">
        <v>1</v>
      </c>
      <c r="DB547">
        <v>0</v>
      </c>
      <c r="DC547">
        <v>0</v>
      </c>
      <c r="DD547">
        <v>1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"12/16/2021 14:44:56.576"</f>
        <v>12/16/2021 14:44:56.576</v>
      </c>
      <c r="C548" t="str">
        <f t="shared" si="25"/>
        <v>FFDFD3C0</v>
      </c>
      <c r="D548" t="s">
        <v>124</v>
      </c>
      <c r="E548">
        <v>5</v>
      </c>
      <c r="F548">
        <v>1005</v>
      </c>
      <c r="G548" t="s">
        <v>114</v>
      </c>
      <c r="J548" t="s">
        <v>125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"14:44:56.359"</f>
        <v>14:44:56.359</v>
      </c>
      <c r="T548" t="str">
        <f>"14:44:55.859"</f>
        <v>14:44:55.859</v>
      </c>
      <c r="U548" t="str">
        <f t="shared" si="24"/>
        <v>A0F928</v>
      </c>
      <c r="V548">
        <v>0</v>
      </c>
      <c r="W548">
        <v>0</v>
      </c>
      <c r="X548">
        <v>2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1</v>
      </c>
      <c r="AI548" t="s">
        <v>396</v>
      </c>
      <c r="AJ548">
        <v>35.813862999999998</v>
      </c>
      <c r="AK548" t="s">
        <v>397</v>
      </c>
      <c r="AL548">
        <v>-83.944924</v>
      </c>
      <c r="AM548">
        <v>25</v>
      </c>
      <c r="AN548">
        <v>1600</v>
      </c>
      <c r="AO548" t="s">
        <v>118</v>
      </c>
      <c r="AP548">
        <v>109</v>
      </c>
      <c r="AQ548">
        <v>25</v>
      </c>
      <c r="AR548">
        <v>128</v>
      </c>
      <c r="AZ548">
        <v>300</v>
      </c>
      <c r="BA548">
        <v>1</v>
      </c>
      <c r="BB548" t="str">
        <f t="shared" si="26"/>
        <v xml:space="preserve">N162AM  </v>
      </c>
      <c r="BC548">
        <v>1</v>
      </c>
      <c r="BE548">
        <v>0</v>
      </c>
      <c r="BF548">
        <v>0</v>
      </c>
      <c r="BG548">
        <v>0</v>
      </c>
      <c r="BH548">
        <v>1850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>"14:44:56.364"</f>
        <v>14:44:56.364</v>
      </c>
      <c r="CJ548">
        <v>3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119</v>
      </c>
      <c r="CQ548">
        <v>232</v>
      </c>
      <c r="CR548">
        <v>1</v>
      </c>
      <c r="CW548">
        <v>15034976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1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"12/16/2021 14:44:56.576"</f>
        <v>12/16/2021 14:44:56.576</v>
      </c>
      <c r="C549" t="str">
        <f t="shared" si="25"/>
        <v>FFDFD3C0</v>
      </c>
      <c r="D549" t="s">
        <v>113</v>
      </c>
      <c r="E549">
        <v>8</v>
      </c>
      <c r="H549">
        <v>176</v>
      </c>
      <c r="I549" t="s">
        <v>114</v>
      </c>
      <c r="J549" t="s">
        <v>115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"14:44:56.359"</f>
        <v>14:44:56.359</v>
      </c>
      <c r="T549" t="str">
        <f>"14:44:55.859"</f>
        <v>14:44:55.859</v>
      </c>
      <c r="U549" t="str">
        <f t="shared" si="24"/>
        <v>A0F928</v>
      </c>
      <c r="V549">
        <v>0</v>
      </c>
      <c r="W549">
        <v>0</v>
      </c>
      <c r="X549">
        <v>2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1</v>
      </c>
      <c r="AI549" t="s">
        <v>396</v>
      </c>
      <c r="AJ549">
        <v>35.813862999999998</v>
      </c>
      <c r="AK549" t="s">
        <v>397</v>
      </c>
      <c r="AL549">
        <v>-83.944924</v>
      </c>
      <c r="AM549">
        <v>25</v>
      </c>
      <c r="AN549">
        <v>1600</v>
      </c>
      <c r="AO549" t="s">
        <v>118</v>
      </c>
      <c r="AP549">
        <v>109</v>
      </c>
      <c r="AQ549">
        <v>25</v>
      </c>
      <c r="AR549">
        <v>128</v>
      </c>
      <c r="AZ549">
        <v>300</v>
      </c>
      <c r="BA549">
        <v>1</v>
      </c>
      <c r="BB549" t="str">
        <f t="shared" si="26"/>
        <v xml:space="preserve">N162AM  </v>
      </c>
      <c r="BC549">
        <v>1</v>
      </c>
      <c r="BE549">
        <v>0</v>
      </c>
      <c r="BF549">
        <v>0</v>
      </c>
      <c r="BG549">
        <v>0</v>
      </c>
      <c r="BH549">
        <v>1850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>"14:44:56.364"</f>
        <v>14:44:56.364</v>
      </c>
      <c r="CJ549">
        <v>3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232</v>
      </c>
      <c r="CR549">
        <v>1</v>
      </c>
      <c r="CW549">
        <v>15034976</v>
      </c>
      <c r="CY549">
        <v>1</v>
      </c>
      <c r="CZ549">
        <v>0</v>
      </c>
      <c r="DA549">
        <v>1</v>
      </c>
      <c r="DB549">
        <v>0</v>
      </c>
      <c r="DC549">
        <v>0</v>
      </c>
      <c r="DD549">
        <v>1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"12/16/2021 14:44:58.030"</f>
        <v>12/16/2021 14:44:58.030</v>
      </c>
      <c r="C550" t="str">
        <f t="shared" si="25"/>
        <v>FFDFD3C0</v>
      </c>
      <c r="D550" t="s">
        <v>133</v>
      </c>
      <c r="E550">
        <v>44</v>
      </c>
      <c r="H550">
        <v>131</v>
      </c>
      <c r="I550" t="s">
        <v>134</v>
      </c>
      <c r="J550" t="s">
        <v>135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"14:44:57.805"</f>
        <v>14:44:57.805</v>
      </c>
      <c r="T550" t="str">
        <f>"14:44:57.405"</f>
        <v>14:44:57.405</v>
      </c>
      <c r="U550" t="str">
        <f t="shared" si="24"/>
        <v>A0F928</v>
      </c>
      <c r="V550">
        <v>0</v>
      </c>
      <c r="W550">
        <v>0</v>
      </c>
      <c r="X550">
        <v>2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1</v>
      </c>
      <c r="AI550" t="s">
        <v>398</v>
      </c>
      <c r="AJ550">
        <v>35.813971000000002</v>
      </c>
      <c r="AK550" t="s">
        <v>399</v>
      </c>
      <c r="AL550">
        <v>-83.944023000000001</v>
      </c>
      <c r="AM550">
        <v>25</v>
      </c>
      <c r="AN550">
        <v>1600</v>
      </c>
      <c r="AO550" t="s">
        <v>118</v>
      </c>
      <c r="AP550">
        <v>109</v>
      </c>
      <c r="AQ550">
        <v>15</v>
      </c>
      <c r="AR550">
        <v>128</v>
      </c>
      <c r="AZ550">
        <v>300</v>
      </c>
      <c r="BA550">
        <v>1</v>
      </c>
      <c r="BB550" t="str">
        <f t="shared" si="26"/>
        <v xml:space="preserve">N162AM  </v>
      </c>
      <c r="BC550">
        <v>1</v>
      </c>
      <c r="BE550">
        <v>0</v>
      </c>
      <c r="BF550">
        <v>0</v>
      </c>
      <c r="BG550">
        <v>0</v>
      </c>
      <c r="BH550">
        <v>1850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>"14:44:57.806"</f>
        <v>14:44:57.806</v>
      </c>
      <c r="CJ550">
        <v>3</v>
      </c>
      <c r="CK550">
        <v>2</v>
      </c>
      <c r="CL550">
        <v>0</v>
      </c>
      <c r="CM550">
        <v>2</v>
      </c>
      <c r="CN550">
        <v>0</v>
      </c>
      <c r="CO550">
        <v>7</v>
      </c>
      <c r="CP550" t="s">
        <v>119</v>
      </c>
      <c r="CQ550">
        <v>232</v>
      </c>
      <c r="CR550">
        <v>2</v>
      </c>
      <c r="CW550">
        <v>6233323</v>
      </c>
      <c r="CY550">
        <v>1</v>
      </c>
      <c r="CZ550">
        <v>0</v>
      </c>
      <c r="DA550">
        <v>0</v>
      </c>
      <c r="DB550">
        <v>0</v>
      </c>
      <c r="DC550">
        <v>0</v>
      </c>
      <c r="DD550">
        <v>1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"12/16/2021 14:44:58.030"</f>
        <v>12/16/2021 14:44:58.030</v>
      </c>
      <c r="C551" t="str">
        <f t="shared" si="25"/>
        <v>FFDFD3C0</v>
      </c>
      <c r="D551" t="s">
        <v>124</v>
      </c>
      <c r="E551">
        <v>10</v>
      </c>
      <c r="F551">
        <v>1010</v>
      </c>
      <c r="G551" t="s">
        <v>130</v>
      </c>
      <c r="J551" t="s">
        <v>125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"14:44:57.805"</f>
        <v>14:44:57.805</v>
      </c>
      <c r="T551" t="str">
        <f>"14:44:57.405"</f>
        <v>14:44:57.405</v>
      </c>
      <c r="U551" t="str">
        <f t="shared" si="24"/>
        <v>A0F928</v>
      </c>
      <c r="V551">
        <v>0</v>
      </c>
      <c r="W551">
        <v>0</v>
      </c>
      <c r="X551">
        <v>2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0</v>
      </c>
      <c r="AG551">
        <v>2</v>
      </c>
      <c r="AH551">
        <v>1</v>
      </c>
      <c r="AI551" t="s">
        <v>398</v>
      </c>
      <c r="AJ551">
        <v>35.813971000000002</v>
      </c>
      <c r="AK551" t="s">
        <v>399</v>
      </c>
      <c r="AL551">
        <v>-83.944023000000001</v>
      </c>
      <c r="AM551">
        <v>25</v>
      </c>
      <c r="AN551">
        <v>1600</v>
      </c>
      <c r="AO551" t="s">
        <v>118</v>
      </c>
      <c r="AP551">
        <v>109</v>
      </c>
      <c r="AQ551">
        <v>15</v>
      </c>
      <c r="AR551">
        <v>128</v>
      </c>
      <c r="AZ551">
        <v>300</v>
      </c>
      <c r="BA551">
        <v>1</v>
      </c>
      <c r="BB551" t="str">
        <f t="shared" si="26"/>
        <v xml:space="preserve">N162AM  </v>
      </c>
      <c r="BC551">
        <v>1</v>
      </c>
      <c r="BE551">
        <v>0</v>
      </c>
      <c r="BF551">
        <v>0</v>
      </c>
      <c r="BG551">
        <v>0</v>
      </c>
      <c r="BH551">
        <v>1850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>"14:44:57.806"</f>
        <v>14:44:57.806</v>
      </c>
      <c r="CJ551">
        <v>2</v>
      </c>
      <c r="CK551">
        <v>2</v>
      </c>
      <c r="CL551">
        <v>0</v>
      </c>
      <c r="CM551">
        <v>2</v>
      </c>
      <c r="CN551">
        <v>0</v>
      </c>
      <c r="CO551">
        <v>7</v>
      </c>
      <c r="CP551" t="s">
        <v>119</v>
      </c>
      <c r="CQ551">
        <v>232</v>
      </c>
      <c r="CR551">
        <v>2</v>
      </c>
      <c r="CW551">
        <v>6233323</v>
      </c>
      <c r="CY551">
        <v>1</v>
      </c>
      <c r="CZ551">
        <v>0</v>
      </c>
      <c r="DA551">
        <v>1</v>
      </c>
      <c r="DB551">
        <v>0</v>
      </c>
      <c r="DC551">
        <v>0</v>
      </c>
      <c r="DD551">
        <v>1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"12/16/2021 14:44:58.030"</f>
        <v>12/16/2021 14:44:58.030</v>
      </c>
      <c r="C552" t="str">
        <f t="shared" si="25"/>
        <v>FFDFD3C0</v>
      </c>
      <c r="D552" t="s">
        <v>124</v>
      </c>
      <c r="E552">
        <v>5</v>
      </c>
      <c r="F552">
        <v>1005</v>
      </c>
      <c r="G552" t="s">
        <v>114</v>
      </c>
      <c r="J552" t="s">
        <v>125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"14:44:57.805"</f>
        <v>14:44:57.805</v>
      </c>
      <c r="T552" t="str">
        <f>"14:44:57.405"</f>
        <v>14:44:57.405</v>
      </c>
      <c r="U552" t="str">
        <f t="shared" si="24"/>
        <v>A0F928</v>
      </c>
      <c r="V552">
        <v>0</v>
      </c>
      <c r="W552">
        <v>0</v>
      </c>
      <c r="X552">
        <v>2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1</v>
      </c>
      <c r="AI552" t="s">
        <v>398</v>
      </c>
      <c r="AJ552">
        <v>35.813971000000002</v>
      </c>
      <c r="AK552" t="s">
        <v>399</v>
      </c>
      <c r="AL552">
        <v>-83.944023000000001</v>
      </c>
      <c r="AM552">
        <v>25</v>
      </c>
      <c r="AN552">
        <v>1600</v>
      </c>
      <c r="AO552" t="s">
        <v>118</v>
      </c>
      <c r="AP552">
        <v>109</v>
      </c>
      <c r="AQ552">
        <v>15</v>
      </c>
      <c r="AR552">
        <v>128</v>
      </c>
      <c r="AZ552">
        <v>300</v>
      </c>
      <c r="BA552">
        <v>1</v>
      </c>
      <c r="BB552" t="str">
        <f t="shared" si="26"/>
        <v xml:space="preserve">N162AM  </v>
      </c>
      <c r="BC552">
        <v>1</v>
      </c>
      <c r="BE552">
        <v>0</v>
      </c>
      <c r="BF552">
        <v>0</v>
      </c>
      <c r="BG552">
        <v>0</v>
      </c>
      <c r="BH552">
        <v>1850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>"14:44:57.806"</f>
        <v>14:44:57.806</v>
      </c>
      <c r="CJ552">
        <v>3</v>
      </c>
      <c r="CK552">
        <v>2</v>
      </c>
      <c r="CL552">
        <v>0</v>
      </c>
      <c r="CM552">
        <v>2</v>
      </c>
      <c r="CN552">
        <v>0</v>
      </c>
      <c r="CO552">
        <v>7</v>
      </c>
      <c r="CP552" t="s">
        <v>119</v>
      </c>
      <c r="CQ552">
        <v>232</v>
      </c>
      <c r="CR552">
        <v>2</v>
      </c>
      <c r="CW552">
        <v>6233323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1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"12/16/2021 14:44:58.061"</f>
        <v>12/16/2021 14:44:58.061</v>
      </c>
      <c r="C553" t="str">
        <f t="shared" si="25"/>
        <v>FFDFD3C0</v>
      </c>
      <c r="D553" t="s">
        <v>113</v>
      </c>
      <c r="E553">
        <v>8</v>
      </c>
      <c r="H553">
        <v>176</v>
      </c>
      <c r="I553" t="s">
        <v>114</v>
      </c>
      <c r="J553" t="s">
        <v>115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"14:44:57.805"</f>
        <v>14:44:57.805</v>
      </c>
      <c r="T553" t="str">
        <f>"14:44:57.405"</f>
        <v>14:44:57.405</v>
      </c>
      <c r="U553" t="str">
        <f t="shared" si="24"/>
        <v>A0F928</v>
      </c>
      <c r="V553">
        <v>0</v>
      </c>
      <c r="W553">
        <v>0</v>
      </c>
      <c r="X553">
        <v>2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1</v>
      </c>
      <c r="AI553" t="s">
        <v>398</v>
      </c>
      <c r="AJ553">
        <v>35.813971000000002</v>
      </c>
      <c r="AK553" t="s">
        <v>399</v>
      </c>
      <c r="AL553">
        <v>-83.944023000000001</v>
      </c>
      <c r="AM553">
        <v>25</v>
      </c>
      <c r="AN553">
        <v>1600</v>
      </c>
      <c r="AO553" t="s">
        <v>118</v>
      </c>
      <c r="AP553">
        <v>109</v>
      </c>
      <c r="AQ553">
        <v>15</v>
      </c>
      <c r="AR553">
        <v>128</v>
      </c>
      <c r="AZ553">
        <v>300</v>
      </c>
      <c r="BA553">
        <v>1</v>
      </c>
      <c r="BB553" t="str">
        <f t="shared" si="26"/>
        <v xml:space="preserve">N162AM  </v>
      </c>
      <c r="BC553">
        <v>1</v>
      </c>
      <c r="BE553">
        <v>0</v>
      </c>
      <c r="BF553">
        <v>0</v>
      </c>
      <c r="BG553">
        <v>0</v>
      </c>
      <c r="BH553">
        <v>1850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>"14:44:57.806"</f>
        <v>14:44:57.806</v>
      </c>
      <c r="CJ553">
        <v>3</v>
      </c>
      <c r="CK553">
        <v>2</v>
      </c>
      <c r="CL553">
        <v>0</v>
      </c>
      <c r="CM553">
        <v>2</v>
      </c>
      <c r="CN553">
        <v>0</v>
      </c>
      <c r="CO553">
        <v>7</v>
      </c>
      <c r="CP553" t="s">
        <v>119</v>
      </c>
      <c r="CQ553">
        <v>232</v>
      </c>
      <c r="CR553">
        <v>2</v>
      </c>
      <c r="CW553">
        <v>6233323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1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"12/16/2021 14:44:59.328"</f>
        <v>12/16/2021 14:44:59.328</v>
      </c>
      <c r="C554" t="str">
        <f t="shared" si="25"/>
        <v>FFDFD3C0</v>
      </c>
      <c r="D554" t="s">
        <v>124</v>
      </c>
      <c r="E554">
        <v>10</v>
      </c>
      <c r="F554">
        <v>1010</v>
      </c>
      <c r="G554" t="s">
        <v>130</v>
      </c>
      <c r="J554" t="s">
        <v>125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"14:44:59.141"</f>
        <v>14:44:59.141</v>
      </c>
      <c r="T554" t="str">
        <f>"14:44:58.741"</f>
        <v>14:44:58.741</v>
      </c>
      <c r="U554" t="str">
        <f t="shared" si="24"/>
        <v>A0F928</v>
      </c>
      <c r="V554">
        <v>0</v>
      </c>
      <c r="W554">
        <v>0</v>
      </c>
      <c r="X554">
        <v>2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0</v>
      </c>
      <c r="AG554">
        <v>2</v>
      </c>
      <c r="AH554">
        <v>1</v>
      </c>
      <c r="AI554" t="s">
        <v>400</v>
      </c>
      <c r="AJ554">
        <v>35.813991999999999</v>
      </c>
      <c r="AK554" t="s">
        <v>401</v>
      </c>
      <c r="AL554">
        <v>-83.943250000000006</v>
      </c>
      <c r="AM554">
        <v>25</v>
      </c>
      <c r="AN554">
        <v>1600</v>
      </c>
      <c r="AO554" t="s">
        <v>118</v>
      </c>
      <c r="AP554">
        <v>108</v>
      </c>
      <c r="AQ554">
        <v>5</v>
      </c>
      <c r="AR554">
        <v>192</v>
      </c>
      <c r="AZ554">
        <v>300</v>
      </c>
      <c r="BA554">
        <v>1</v>
      </c>
      <c r="BB554" t="str">
        <f t="shared" si="26"/>
        <v xml:space="preserve">N162AM  </v>
      </c>
      <c r="BC554">
        <v>1</v>
      </c>
      <c r="BE554">
        <v>0</v>
      </c>
      <c r="BF554">
        <v>0</v>
      </c>
      <c r="BG554">
        <v>0</v>
      </c>
      <c r="BH554">
        <v>1850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>"14:44:59.146"</f>
        <v>14:44:59.146</v>
      </c>
      <c r="CJ554">
        <v>2</v>
      </c>
      <c r="CK554">
        <v>2</v>
      </c>
      <c r="CL554">
        <v>0</v>
      </c>
      <c r="CM554">
        <v>2</v>
      </c>
      <c r="CN554">
        <v>0</v>
      </c>
      <c r="CO554">
        <v>7</v>
      </c>
      <c r="CP554" t="s">
        <v>119</v>
      </c>
      <c r="CQ554">
        <v>232</v>
      </c>
      <c r="CR554">
        <v>2</v>
      </c>
      <c r="CW554">
        <v>6235400</v>
      </c>
      <c r="CY554">
        <v>1</v>
      </c>
      <c r="CZ554">
        <v>0</v>
      </c>
      <c r="DA554">
        <v>0</v>
      </c>
      <c r="DB554">
        <v>0</v>
      </c>
      <c r="DC554">
        <v>0</v>
      </c>
      <c r="DD554">
        <v>1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"12/16/2021 14:44:59.328"</f>
        <v>12/16/2021 14:44:59.328</v>
      </c>
      <c r="C555" t="str">
        <f t="shared" si="25"/>
        <v>FFDFD3C0</v>
      </c>
      <c r="D555" t="s">
        <v>133</v>
      </c>
      <c r="E555">
        <v>44</v>
      </c>
      <c r="H555">
        <v>131</v>
      </c>
      <c r="I555" t="s">
        <v>134</v>
      </c>
      <c r="J555" t="s">
        <v>135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"14:44:59.141"</f>
        <v>14:44:59.141</v>
      </c>
      <c r="T555" t="str">
        <f>"14:44:58.741"</f>
        <v>14:44:58.741</v>
      </c>
      <c r="U555" t="str">
        <f t="shared" si="24"/>
        <v>A0F928</v>
      </c>
      <c r="V555">
        <v>0</v>
      </c>
      <c r="W555">
        <v>0</v>
      </c>
      <c r="X555">
        <v>2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1</v>
      </c>
      <c r="AI555" t="s">
        <v>400</v>
      </c>
      <c r="AJ555">
        <v>35.813991999999999</v>
      </c>
      <c r="AK555" t="s">
        <v>401</v>
      </c>
      <c r="AL555">
        <v>-83.943250000000006</v>
      </c>
      <c r="AM555">
        <v>25</v>
      </c>
      <c r="AN555">
        <v>1600</v>
      </c>
      <c r="AO555" t="s">
        <v>118</v>
      </c>
      <c r="AP555">
        <v>108</v>
      </c>
      <c r="AQ555">
        <v>5</v>
      </c>
      <c r="AR555">
        <v>192</v>
      </c>
      <c r="AZ555">
        <v>300</v>
      </c>
      <c r="BA555">
        <v>1</v>
      </c>
      <c r="BB555" t="str">
        <f t="shared" si="26"/>
        <v xml:space="preserve">N162AM  </v>
      </c>
      <c r="BC555">
        <v>1</v>
      </c>
      <c r="BE555">
        <v>0</v>
      </c>
      <c r="BF555">
        <v>0</v>
      </c>
      <c r="BG555">
        <v>0</v>
      </c>
      <c r="BH555">
        <v>1850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>"14:44:59.146"</f>
        <v>14:44:59.146</v>
      </c>
      <c r="CJ555">
        <v>3</v>
      </c>
      <c r="CK555">
        <v>2</v>
      </c>
      <c r="CL555">
        <v>0</v>
      </c>
      <c r="CM555">
        <v>2</v>
      </c>
      <c r="CN555">
        <v>0</v>
      </c>
      <c r="CO555">
        <v>7</v>
      </c>
      <c r="CP555" t="s">
        <v>119</v>
      </c>
      <c r="CQ555">
        <v>232</v>
      </c>
      <c r="CR555">
        <v>2</v>
      </c>
      <c r="CW555">
        <v>6235400</v>
      </c>
      <c r="CY555">
        <v>1</v>
      </c>
      <c r="CZ555">
        <v>0</v>
      </c>
      <c r="DA555">
        <v>1</v>
      </c>
      <c r="DB555">
        <v>0</v>
      </c>
      <c r="DC555">
        <v>0</v>
      </c>
      <c r="DD555">
        <v>1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"12/16/2021 14:44:59.343"</f>
        <v>12/16/2021 14:44:59.343</v>
      </c>
      <c r="C556" t="str">
        <f t="shared" si="25"/>
        <v>FFDFD3C0</v>
      </c>
      <c r="D556" t="s">
        <v>124</v>
      </c>
      <c r="E556">
        <v>5</v>
      </c>
      <c r="F556">
        <v>1005</v>
      </c>
      <c r="G556" t="s">
        <v>114</v>
      </c>
      <c r="J556" t="s">
        <v>125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"14:44:59.141"</f>
        <v>14:44:59.141</v>
      </c>
      <c r="T556" t="str">
        <f>"14:44:58.741"</f>
        <v>14:44:58.741</v>
      </c>
      <c r="U556" t="str">
        <f t="shared" si="24"/>
        <v>A0F928</v>
      </c>
      <c r="V556">
        <v>0</v>
      </c>
      <c r="W556">
        <v>0</v>
      </c>
      <c r="X556">
        <v>2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1</v>
      </c>
      <c r="AI556" t="s">
        <v>400</v>
      </c>
      <c r="AJ556">
        <v>35.813991999999999</v>
      </c>
      <c r="AK556" t="s">
        <v>401</v>
      </c>
      <c r="AL556">
        <v>-83.943250000000006</v>
      </c>
      <c r="AM556">
        <v>25</v>
      </c>
      <c r="AN556">
        <v>1600</v>
      </c>
      <c r="AO556" t="s">
        <v>118</v>
      </c>
      <c r="AP556">
        <v>108</v>
      </c>
      <c r="AQ556">
        <v>5</v>
      </c>
      <c r="AR556">
        <v>192</v>
      </c>
      <c r="AZ556">
        <v>300</v>
      </c>
      <c r="BA556">
        <v>1</v>
      </c>
      <c r="BB556" t="str">
        <f t="shared" si="26"/>
        <v xml:space="preserve">N162AM  </v>
      </c>
      <c r="BC556">
        <v>1</v>
      </c>
      <c r="BE556">
        <v>0</v>
      </c>
      <c r="BF556">
        <v>0</v>
      </c>
      <c r="BG556">
        <v>0</v>
      </c>
      <c r="BH556">
        <v>1850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>"14:44:59.146"</f>
        <v>14:44:59.146</v>
      </c>
      <c r="CJ556">
        <v>3</v>
      </c>
      <c r="CK556">
        <v>2</v>
      </c>
      <c r="CL556">
        <v>0</v>
      </c>
      <c r="CM556">
        <v>2</v>
      </c>
      <c r="CN556">
        <v>0</v>
      </c>
      <c r="CO556">
        <v>7</v>
      </c>
      <c r="CP556" t="s">
        <v>119</v>
      </c>
      <c r="CQ556">
        <v>232</v>
      </c>
      <c r="CR556">
        <v>2</v>
      </c>
      <c r="CW556">
        <v>6235400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1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"12/16/2021 14:44:59.421"</f>
        <v>12/16/2021 14:44:59.421</v>
      </c>
      <c r="C557" t="str">
        <f t="shared" si="25"/>
        <v>FFDFD3C0</v>
      </c>
      <c r="D557" t="s">
        <v>113</v>
      </c>
      <c r="E557">
        <v>8</v>
      </c>
      <c r="H557">
        <v>176</v>
      </c>
      <c r="I557" t="s">
        <v>114</v>
      </c>
      <c r="J557" t="s">
        <v>115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"14:44:59.141"</f>
        <v>14:44:59.141</v>
      </c>
      <c r="T557" t="str">
        <f>"14:44:58.741"</f>
        <v>14:44:58.741</v>
      </c>
      <c r="U557" t="str">
        <f t="shared" si="24"/>
        <v>A0F928</v>
      </c>
      <c r="V557">
        <v>0</v>
      </c>
      <c r="W557">
        <v>0</v>
      </c>
      <c r="X557">
        <v>2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1</v>
      </c>
      <c r="AI557" t="s">
        <v>400</v>
      </c>
      <c r="AJ557">
        <v>35.813991999999999</v>
      </c>
      <c r="AK557" t="s">
        <v>401</v>
      </c>
      <c r="AL557">
        <v>-83.943250000000006</v>
      </c>
      <c r="AM557">
        <v>25</v>
      </c>
      <c r="AN557">
        <v>1600</v>
      </c>
      <c r="AO557" t="s">
        <v>118</v>
      </c>
      <c r="AP557">
        <v>108</v>
      </c>
      <c r="AQ557">
        <v>5</v>
      </c>
      <c r="AR557">
        <v>192</v>
      </c>
      <c r="AZ557">
        <v>300</v>
      </c>
      <c r="BA557">
        <v>1</v>
      </c>
      <c r="BB557" t="str">
        <f t="shared" si="26"/>
        <v xml:space="preserve">N162AM  </v>
      </c>
      <c r="BC557">
        <v>1</v>
      </c>
      <c r="BE557">
        <v>0</v>
      </c>
      <c r="BF557">
        <v>0</v>
      </c>
      <c r="BG557">
        <v>0</v>
      </c>
      <c r="BH557">
        <v>1850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>"14:44:59.146"</f>
        <v>14:44:59.146</v>
      </c>
      <c r="CJ557">
        <v>3</v>
      </c>
      <c r="CK557">
        <v>2</v>
      </c>
      <c r="CL557">
        <v>0</v>
      </c>
      <c r="CM557">
        <v>2</v>
      </c>
      <c r="CN557">
        <v>0</v>
      </c>
      <c r="CO557">
        <v>7</v>
      </c>
      <c r="CP557" t="s">
        <v>119</v>
      </c>
      <c r="CQ557">
        <v>232</v>
      </c>
      <c r="CR557">
        <v>2</v>
      </c>
      <c r="CW557">
        <v>6235400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1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"12/16/2021 14:45:00.662"</f>
        <v>12/16/2021 14:45:00.662</v>
      </c>
      <c r="C558" t="str">
        <f t="shared" si="25"/>
        <v>FFDFD3C0</v>
      </c>
      <c r="D558" t="s">
        <v>124</v>
      </c>
      <c r="E558">
        <v>10</v>
      </c>
      <c r="F558">
        <v>1010</v>
      </c>
      <c r="G558" t="s">
        <v>130</v>
      </c>
      <c r="J558" t="s">
        <v>125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"14:45:00.438"</f>
        <v>14:45:00.438</v>
      </c>
      <c r="T558" t="str">
        <f>"14:45:00.038"</f>
        <v>14:45:00.038</v>
      </c>
      <c r="U558" t="str">
        <f t="shared" si="24"/>
        <v>A0F928</v>
      </c>
      <c r="V558">
        <v>0</v>
      </c>
      <c r="W558">
        <v>0</v>
      </c>
      <c r="X558">
        <v>2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0</v>
      </c>
      <c r="AG558">
        <v>2</v>
      </c>
      <c r="AH558">
        <v>1</v>
      </c>
      <c r="AI558" t="s">
        <v>398</v>
      </c>
      <c r="AJ558">
        <v>35.813971000000002</v>
      </c>
      <c r="AK558" t="s">
        <v>402</v>
      </c>
      <c r="AL558">
        <v>-83.942477999999994</v>
      </c>
      <c r="AM558">
        <v>25</v>
      </c>
      <c r="AN558">
        <v>1600</v>
      </c>
      <c r="AO558" t="s">
        <v>118</v>
      </c>
      <c r="AP558">
        <v>106</v>
      </c>
      <c r="AQ558">
        <v>-3</v>
      </c>
      <c r="AR558">
        <v>192</v>
      </c>
      <c r="AZ558">
        <v>300</v>
      </c>
      <c r="BA558">
        <v>1</v>
      </c>
      <c r="BB558" t="str">
        <f t="shared" si="26"/>
        <v xml:space="preserve">N162AM  </v>
      </c>
      <c r="BC558">
        <v>1</v>
      </c>
      <c r="BE558">
        <v>0</v>
      </c>
      <c r="BF558">
        <v>0</v>
      </c>
      <c r="BG558">
        <v>0</v>
      </c>
      <c r="BH558">
        <v>1850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>"14:45:00.444"</f>
        <v>14:45:00.444</v>
      </c>
      <c r="CJ558">
        <v>2</v>
      </c>
      <c r="CK558">
        <v>2</v>
      </c>
      <c r="CL558">
        <v>0</v>
      </c>
      <c r="CM558">
        <v>2</v>
      </c>
      <c r="CN558">
        <v>0</v>
      </c>
      <c r="CO558">
        <v>6</v>
      </c>
      <c r="CP558" t="s">
        <v>119</v>
      </c>
      <c r="CQ558">
        <v>232</v>
      </c>
      <c r="CR558">
        <v>1</v>
      </c>
      <c r="CW558">
        <v>15041567</v>
      </c>
      <c r="CY558">
        <v>1</v>
      </c>
      <c r="CZ558">
        <v>0</v>
      </c>
      <c r="DA558">
        <v>0</v>
      </c>
      <c r="DB558">
        <v>0</v>
      </c>
      <c r="DC558">
        <v>0</v>
      </c>
      <c r="DD558">
        <v>1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"12/16/2021 14:45:00.678"</f>
        <v>12/16/2021 14:45:00.678</v>
      </c>
      <c r="C559" t="str">
        <f t="shared" si="25"/>
        <v>FFDFD3C0</v>
      </c>
      <c r="D559" t="s">
        <v>133</v>
      </c>
      <c r="E559">
        <v>44</v>
      </c>
      <c r="H559">
        <v>131</v>
      </c>
      <c r="I559" t="s">
        <v>134</v>
      </c>
      <c r="J559" t="s">
        <v>135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"14:45:00.438"</f>
        <v>14:45:00.438</v>
      </c>
      <c r="T559" t="str">
        <f>"14:45:00.038"</f>
        <v>14:45:00.038</v>
      </c>
      <c r="U559" t="str">
        <f t="shared" si="24"/>
        <v>A0F928</v>
      </c>
      <c r="V559">
        <v>0</v>
      </c>
      <c r="W559">
        <v>0</v>
      </c>
      <c r="X559">
        <v>2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1</v>
      </c>
      <c r="AI559" t="s">
        <v>398</v>
      </c>
      <c r="AJ559">
        <v>35.813971000000002</v>
      </c>
      <c r="AK559" t="s">
        <v>402</v>
      </c>
      <c r="AL559">
        <v>-83.942477999999994</v>
      </c>
      <c r="AM559">
        <v>25</v>
      </c>
      <c r="AN559">
        <v>1600</v>
      </c>
      <c r="AO559" t="s">
        <v>118</v>
      </c>
      <c r="AP559">
        <v>106</v>
      </c>
      <c r="AQ559">
        <v>-3</v>
      </c>
      <c r="AR559">
        <v>192</v>
      </c>
      <c r="AZ559">
        <v>300</v>
      </c>
      <c r="BA559">
        <v>1</v>
      </c>
      <c r="BB559" t="str">
        <f t="shared" si="26"/>
        <v xml:space="preserve">N162AM  </v>
      </c>
      <c r="BC559">
        <v>1</v>
      </c>
      <c r="BE559">
        <v>0</v>
      </c>
      <c r="BF559">
        <v>0</v>
      </c>
      <c r="BG559">
        <v>0</v>
      </c>
      <c r="BH559">
        <v>1850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>"14:45:00.444"</f>
        <v>14:45:00.444</v>
      </c>
      <c r="CJ559">
        <v>3</v>
      </c>
      <c r="CK559">
        <v>2</v>
      </c>
      <c r="CL559">
        <v>0</v>
      </c>
      <c r="CM559">
        <v>2</v>
      </c>
      <c r="CN559">
        <v>0</v>
      </c>
      <c r="CO559">
        <v>6</v>
      </c>
      <c r="CP559" t="s">
        <v>119</v>
      </c>
      <c r="CQ559">
        <v>232</v>
      </c>
      <c r="CR559">
        <v>1</v>
      </c>
      <c r="CW559">
        <v>15041567</v>
      </c>
      <c r="CY559">
        <v>1</v>
      </c>
      <c r="CZ559">
        <v>0</v>
      </c>
      <c r="DA559">
        <v>1</v>
      </c>
      <c r="DB559">
        <v>0</v>
      </c>
      <c r="DC559">
        <v>0</v>
      </c>
      <c r="DD559">
        <v>1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"12/16/2021 14:45:00.678"</f>
        <v>12/16/2021 14:45:00.678</v>
      </c>
      <c r="C560" t="str">
        <f t="shared" si="25"/>
        <v>FFDFD3C0</v>
      </c>
      <c r="D560" t="s">
        <v>124</v>
      </c>
      <c r="E560">
        <v>5</v>
      </c>
      <c r="F560">
        <v>1005</v>
      </c>
      <c r="G560" t="s">
        <v>114</v>
      </c>
      <c r="J560" t="s">
        <v>125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"14:45:00.438"</f>
        <v>14:45:00.438</v>
      </c>
      <c r="T560" t="str">
        <f>"14:45:00.038"</f>
        <v>14:45:00.038</v>
      </c>
      <c r="U560" t="str">
        <f t="shared" si="24"/>
        <v>A0F928</v>
      </c>
      <c r="V560">
        <v>0</v>
      </c>
      <c r="W560">
        <v>0</v>
      </c>
      <c r="X560">
        <v>2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1</v>
      </c>
      <c r="AI560" t="s">
        <v>398</v>
      </c>
      <c r="AJ560">
        <v>35.813971000000002</v>
      </c>
      <c r="AK560" t="s">
        <v>402</v>
      </c>
      <c r="AL560">
        <v>-83.942477999999994</v>
      </c>
      <c r="AM560">
        <v>25</v>
      </c>
      <c r="AN560">
        <v>1600</v>
      </c>
      <c r="AO560" t="s">
        <v>118</v>
      </c>
      <c r="AP560">
        <v>106</v>
      </c>
      <c r="AQ560">
        <v>-3</v>
      </c>
      <c r="AR560">
        <v>192</v>
      </c>
      <c r="AZ560">
        <v>300</v>
      </c>
      <c r="BA560">
        <v>1</v>
      </c>
      <c r="BB560" t="str">
        <f t="shared" si="26"/>
        <v xml:space="preserve">N162AM  </v>
      </c>
      <c r="BC560">
        <v>1</v>
      </c>
      <c r="BE560">
        <v>0</v>
      </c>
      <c r="BF560">
        <v>0</v>
      </c>
      <c r="BG560">
        <v>0</v>
      </c>
      <c r="BH560">
        <v>1850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>"14:45:00.444"</f>
        <v>14:45:00.444</v>
      </c>
      <c r="CJ560">
        <v>3</v>
      </c>
      <c r="CK560">
        <v>2</v>
      </c>
      <c r="CL560">
        <v>0</v>
      </c>
      <c r="CM560">
        <v>2</v>
      </c>
      <c r="CN560">
        <v>0</v>
      </c>
      <c r="CO560">
        <v>6</v>
      </c>
      <c r="CP560" t="s">
        <v>119</v>
      </c>
      <c r="CQ560">
        <v>232</v>
      </c>
      <c r="CR560">
        <v>1</v>
      </c>
      <c r="CW560">
        <v>15041567</v>
      </c>
      <c r="CY560">
        <v>1</v>
      </c>
      <c r="CZ560">
        <v>0</v>
      </c>
      <c r="DA560">
        <v>1</v>
      </c>
      <c r="DB560">
        <v>0</v>
      </c>
      <c r="DC560">
        <v>0</v>
      </c>
      <c r="DD560">
        <v>1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"12/16/2021 14:45:00.678"</f>
        <v>12/16/2021 14:45:00.678</v>
      </c>
      <c r="C561" t="str">
        <f t="shared" si="25"/>
        <v>FFDFD3C0</v>
      </c>
      <c r="D561" t="s">
        <v>113</v>
      </c>
      <c r="E561">
        <v>8</v>
      </c>
      <c r="H561">
        <v>176</v>
      </c>
      <c r="I561" t="s">
        <v>114</v>
      </c>
      <c r="J561" t="s">
        <v>115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"14:45:00.438"</f>
        <v>14:45:00.438</v>
      </c>
      <c r="T561" t="str">
        <f>"14:45:00.038"</f>
        <v>14:45:00.038</v>
      </c>
      <c r="U561" t="str">
        <f t="shared" si="24"/>
        <v>A0F928</v>
      </c>
      <c r="V561">
        <v>0</v>
      </c>
      <c r="W561">
        <v>0</v>
      </c>
      <c r="X561">
        <v>2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1</v>
      </c>
      <c r="AI561" t="s">
        <v>398</v>
      </c>
      <c r="AJ561">
        <v>35.813971000000002</v>
      </c>
      <c r="AK561" t="s">
        <v>402</v>
      </c>
      <c r="AL561">
        <v>-83.942477999999994</v>
      </c>
      <c r="AM561">
        <v>25</v>
      </c>
      <c r="AN561">
        <v>1600</v>
      </c>
      <c r="AO561" t="s">
        <v>118</v>
      </c>
      <c r="AP561">
        <v>106</v>
      </c>
      <c r="AQ561">
        <v>-3</v>
      </c>
      <c r="AR561">
        <v>192</v>
      </c>
      <c r="AZ561">
        <v>300</v>
      </c>
      <c r="BA561">
        <v>1</v>
      </c>
      <c r="BB561" t="str">
        <f t="shared" si="26"/>
        <v xml:space="preserve">N162AM  </v>
      </c>
      <c r="BC561">
        <v>1</v>
      </c>
      <c r="BE561">
        <v>0</v>
      </c>
      <c r="BF561">
        <v>0</v>
      </c>
      <c r="BG561">
        <v>0</v>
      </c>
      <c r="BH561">
        <v>1850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>"14:45:00.444"</f>
        <v>14:45:00.444</v>
      </c>
      <c r="CJ561">
        <v>3</v>
      </c>
      <c r="CK561">
        <v>2</v>
      </c>
      <c r="CL561">
        <v>0</v>
      </c>
      <c r="CM561">
        <v>2</v>
      </c>
      <c r="CN561">
        <v>0</v>
      </c>
      <c r="CO561">
        <v>6</v>
      </c>
      <c r="CP561" t="s">
        <v>119</v>
      </c>
      <c r="CQ561">
        <v>232</v>
      </c>
      <c r="CR561">
        <v>1</v>
      </c>
      <c r="CW561">
        <v>15041567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1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"12/16/2021 14:45:01.662"</f>
        <v>12/16/2021 14:45:01.662</v>
      </c>
      <c r="C562" t="str">
        <f t="shared" si="25"/>
        <v>FFDFD3C0</v>
      </c>
      <c r="D562" t="s">
        <v>124</v>
      </c>
      <c r="E562">
        <v>10</v>
      </c>
      <c r="F562">
        <v>1010</v>
      </c>
      <c r="G562" t="s">
        <v>130</v>
      </c>
      <c r="J562" t="s">
        <v>125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"14:45:01.438"</f>
        <v>14:45:01.438</v>
      </c>
      <c r="T562" t="str">
        <f>"14:45:01.038"</f>
        <v>14:45:01.038</v>
      </c>
      <c r="U562" t="str">
        <f t="shared" si="24"/>
        <v>A0F928</v>
      </c>
      <c r="V562">
        <v>0</v>
      </c>
      <c r="W562">
        <v>0</v>
      </c>
      <c r="X562">
        <v>2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0</v>
      </c>
      <c r="AG562">
        <v>2</v>
      </c>
      <c r="AH562">
        <v>1</v>
      </c>
      <c r="AI562" t="s">
        <v>403</v>
      </c>
      <c r="AJ562">
        <v>35.813927999999997</v>
      </c>
      <c r="AK562" t="s">
        <v>404</v>
      </c>
      <c r="AL562">
        <v>-83.941834</v>
      </c>
      <c r="AM562">
        <v>25</v>
      </c>
      <c r="AN562">
        <v>1600</v>
      </c>
      <c r="AO562" t="s">
        <v>118</v>
      </c>
      <c r="AP562">
        <v>105</v>
      </c>
      <c r="AQ562">
        <v>-9</v>
      </c>
      <c r="AR562">
        <v>192</v>
      </c>
      <c r="AZ562">
        <v>300</v>
      </c>
      <c r="BA562">
        <v>1</v>
      </c>
      <c r="BB562" t="str">
        <f t="shared" si="26"/>
        <v xml:space="preserve">N162AM  </v>
      </c>
      <c r="BC562">
        <v>1</v>
      </c>
      <c r="BE562">
        <v>0</v>
      </c>
      <c r="BF562">
        <v>0</v>
      </c>
      <c r="BG562">
        <v>0</v>
      </c>
      <c r="BH562">
        <v>1850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>"14:45:01.438"</f>
        <v>14:45:01.438</v>
      </c>
      <c r="CJ562">
        <v>2</v>
      </c>
      <c r="CK562">
        <v>2</v>
      </c>
      <c r="CL562">
        <v>0</v>
      </c>
      <c r="CM562">
        <v>2</v>
      </c>
      <c r="CN562">
        <v>0</v>
      </c>
      <c r="CO562">
        <v>6</v>
      </c>
      <c r="CP562" t="s">
        <v>119</v>
      </c>
      <c r="CQ562">
        <v>232</v>
      </c>
      <c r="CR562">
        <v>1</v>
      </c>
      <c r="CW562">
        <v>15043180</v>
      </c>
      <c r="CY562">
        <v>1</v>
      </c>
      <c r="CZ562">
        <v>0</v>
      </c>
      <c r="DA562">
        <v>0</v>
      </c>
      <c r="DB562">
        <v>0</v>
      </c>
      <c r="DC562">
        <v>0</v>
      </c>
      <c r="DD562">
        <v>1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"12/16/2021 14:45:01.678"</f>
        <v>12/16/2021 14:45:01.678</v>
      </c>
      <c r="C563" t="str">
        <f t="shared" si="25"/>
        <v>FFDFD3C0</v>
      </c>
      <c r="D563" t="s">
        <v>133</v>
      </c>
      <c r="E563">
        <v>44</v>
      </c>
      <c r="H563">
        <v>131</v>
      </c>
      <c r="I563" t="s">
        <v>134</v>
      </c>
      <c r="J563" t="s">
        <v>135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"14:45:01.438"</f>
        <v>14:45:01.438</v>
      </c>
      <c r="T563" t="str">
        <f>"14:45:01.038"</f>
        <v>14:45:01.038</v>
      </c>
      <c r="U563" t="str">
        <f t="shared" si="24"/>
        <v>A0F928</v>
      </c>
      <c r="V563">
        <v>0</v>
      </c>
      <c r="W563">
        <v>0</v>
      </c>
      <c r="X563">
        <v>2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1</v>
      </c>
      <c r="AI563" t="s">
        <v>403</v>
      </c>
      <c r="AJ563">
        <v>35.813927999999997</v>
      </c>
      <c r="AK563" t="s">
        <v>404</v>
      </c>
      <c r="AL563">
        <v>-83.941834</v>
      </c>
      <c r="AM563">
        <v>25</v>
      </c>
      <c r="AN563">
        <v>1600</v>
      </c>
      <c r="AO563" t="s">
        <v>118</v>
      </c>
      <c r="AP563">
        <v>105</v>
      </c>
      <c r="AQ563">
        <v>-9</v>
      </c>
      <c r="AR563">
        <v>192</v>
      </c>
      <c r="AZ563">
        <v>300</v>
      </c>
      <c r="BA563">
        <v>1</v>
      </c>
      <c r="BB563" t="str">
        <f t="shared" si="26"/>
        <v xml:space="preserve">N162AM  </v>
      </c>
      <c r="BC563">
        <v>1</v>
      </c>
      <c r="BE563">
        <v>0</v>
      </c>
      <c r="BF563">
        <v>0</v>
      </c>
      <c r="BG563">
        <v>0</v>
      </c>
      <c r="BH563">
        <v>1850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>"14:45:01.438"</f>
        <v>14:45:01.438</v>
      </c>
      <c r="CJ563">
        <v>3</v>
      </c>
      <c r="CK563">
        <v>2</v>
      </c>
      <c r="CL563">
        <v>0</v>
      </c>
      <c r="CM563">
        <v>2</v>
      </c>
      <c r="CN563">
        <v>0</v>
      </c>
      <c r="CO563">
        <v>6</v>
      </c>
      <c r="CP563" t="s">
        <v>119</v>
      </c>
      <c r="CQ563">
        <v>232</v>
      </c>
      <c r="CR563">
        <v>1</v>
      </c>
      <c r="CW563">
        <v>15043180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1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"12/16/2021 14:45:01.678"</f>
        <v>12/16/2021 14:45:01.678</v>
      </c>
      <c r="C564" t="str">
        <f t="shared" si="25"/>
        <v>FFDFD3C0</v>
      </c>
      <c r="D564" t="s">
        <v>124</v>
      </c>
      <c r="E564">
        <v>5</v>
      </c>
      <c r="F564">
        <v>1005</v>
      </c>
      <c r="G564" t="s">
        <v>114</v>
      </c>
      <c r="J564" t="s">
        <v>125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"14:45:01.438"</f>
        <v>14:45:01.438</v>
      </c>
      <c r="T564" t="str">
        <f>"14:45:01.038"</f>
        <v>14:45:01.038</v>
      </c>
      <c r="U564" t="str">
        <f t="shared" si="24"/>
        <v>A0F928</v>
      </c>
      <c r="V564">
        <v>0</v>
      </c>
      <c r="W564">
        <v>0</v>
      </c>
      <c r="X564">
        <v>2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1</v>
      </c>
      <c r="AI564" t="s">
        <v>403</v>
      </c>
      <c r="AJ564">
        <v>35.813927999999997</v>
      </c>
      <c r="AK564" t="s">
        <v>404</v>
      </c>
      <c r="AL564">
        <v>-83.941834</v>
      </c>
      <c r="AM564">
        <v>25</v>
      </c>
      <c r="AN564">
        <v>1600</v>
      </c>
      <c r="AO564" t="s">
        <v>118</v>
      </c>
      <c r="AP564">
        <v>105</v>
      </c>
      <c r="AQ564">
        <v>-9</v>
      </c>
      <c r="AR564">
        <v>192</v>
      </c>
      <c r="AZ564">
        <v>300</v>
      </c>
      <c r="BA564">
        <v>1</v>
      </c>
      <c r="BB564" t="str">
        <f t="shared" si="26"/>
        <v xml:space="preserve">N162AM  </v>
      </c>
      <c r="BC564">
        <v>1</v>
      </c>
      <c r="BE564">
        <v>0</v>
      </c>
      <c r="BF564">
        <v>0</v>
      </c>
      <c r="BG564">
        <v>0</v>
      </c>
      <c r="BH564">
        <v>1850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>"14:45:01.438"</f>
        <v>14:45:01.438</v>
      </c>
      <c r="CJ564">
        <v>3</v>
      </c>
      <c r="CK564">
        <v>2</v>
      </c>
      <c r="CL564">
        <v>0</v>
      </c>
      <c r="CM564">
        <v>2</v>
      </c>
      <c r="CN564">
        <v>0</v>
      </c>
      <c r="CO564">
        <v>6</v>
      </c>
      <c r="CP564" t="s">
        <v>119</v>
      </c>
      <c r="CQ564">
        <v>232</v>
      </c>
      <c r="CR564">
        <v>1</v>
      </c>
      <c r="CW564">
        <v>15043180</v>
      </c>
      <c r="CY564">
        <v>1</v>
      </c>
      <c r="CZ564">
        <v>0</v>
      </c>
      <c r="DA564">
        <v>1</v>
      </c>
      <c r="DB564">
        <v>0</v>
      </c>
      <c r="DC564">
        <v>0</v>
      </c>
      <c r="DD564">
        <v>1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"12/16/2021 14:45:01.709"</f>
        <v>12/16/2021 14:45:01.709</v>
      </c>
      <c r="C565" t="str">
        <f t="shared" si="25"/>
        <v>FFDFD3C0</v>
      </c>
      <c r="D565" t="s">
        <v>113</v>
      </c>
      <c r="E565">
        <v>8</v>
      </c>
      <c r="H565">
        <v>176</v>
      </c>
      <c r="I565" t="s">
        <v>114</v>
      </c>
      <c r="J565" t="s">
        <v>115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"14:45:01.438"</f>
        <v>14:45:01.438</v>
      </c>
      <c r="T565" t="str">
        <f>"14:45:01.038"</f>
        <v>14:45:01.038</v>
      </c>
      <c r="U565" t="str">
        <f t="shared" si="24"/>
        <v>A0F928</v>
      </c>
      <c r="V565">
        <v>0</v>
      </c>
      <c r="W565">
        <v>0</v>
      </c>
      <c r="X565">
        <v>2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1</v>
      </c>
      <c r="AI565" t="s">
        <v>403</v>
      </c>
      <c r="AJ565">
        <v>35.813927999999997</v>
      </c>
      <c r="AK565" t="s">
        <v>404</v>
      </c>
      <c r="AL565">
        <v>-83.941834</v>
      </c>
      <c r="AM565">
        <v>25</v>
      </c>
      <c r="AN565">
        <v>1600</v>
      </c>
      <c r="AO565" t="s">
        <v>118</v>
      </c>
      <c r="AP565">
        <v>105</v>
      </c>
      <c r="AQ565">
        <v>-9</v>
      </c>
      <c r="AR565">
        <v>192</v>
      </c>
      <c r="AZ565">
        <v>300</v>
      </c>
      <c r="BA565">
        <v>1</v>
      </c>
      <c r="BB565" t="str">
        <f t="shared" si="26"/>
        <v xml:space="preserve">N162AM  </v>
      </c>
      <c r="BC565">
        <v>1</v>
      </c>
      <c r="BE565">
        <v>0</v>
      </c>
      <c r="BF565">
        <v>0</v>
      </c>
      <c r="BG565">
        <v>0</v>
      </c>
      <c r="BH565">
        <v>1850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>"14:45:01.438"</f>
        <v>14:45:01.438</v>
      </c>
      <c r="CJ565">
        <v>3</v>
      </c>
      <c r="CK565">
        <v>2</v>
      </c>
      <c r="CL565">
        <v>0</v>
      </c>
      <c r="CM565">
        <v>2</v>
      </c>
      <c r="CN565">
        <v>0</v>
      </c>
      <c r="CO565">
        <v>6</v>
      </c>
      <c r="CP565" t="s">
        <v>119</v>
      </c>
      <c r="CQ565">
        <v>232</v>
      </c>
      <c r="CR565">
        <v>1</v>
      </c>
      <c r="CW565">
        <v>15043180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1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"12/16/2021 14:45:02.647"</f>
        <v>12/16/2021 14:45:02.647</v>
      </c>
      <c r="C566" t="str">
        <f t="shared" si="25"/>
        <v>FFDFD3C0</v>
      </c>
      <c r="D566" t="s">
        <v>113</v>
      </c>
      <c r="E566">
        <v>8</v>
      </c>
      <c r="H566">
        <v>176</v>
      </c>
      <c r="I566" t="s">
        <v>114</v>
      </c>
      <c r="J566" t="s">
        <v>115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"14:45:02.461"</f>
        <v>14:45:02.461</v>
      </c>
      <c r="T566" t="str">
        <f>"14:45:02.061"</f>
        <v>14:45:02.061</v>
      </c>
      <c r="U566" t="str">
        <f t="shared" si="24"/>
        <v>A0F928</v>
      </c>
      <c r="V566">
        <v>0</v>
      </c>
      <c r="W566">
        <v>0</v>
      </c>
      <c r="X566">
        <v>2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1</v>
      </c>
      <c r="AI566" t="s">
        <v>405</v>
      </c>
      <c r="AJ566">
        <v>35.813842000000001</v>
      </c>
      <c r="AK566" t="s">
        <v>406</v>
      </c>
      <c r="AL566">
        <v>-83.941211999999993</v>
      </c>
      <c r="AM566">
        <v>25</v>
      </c>
      <c r="AN566">
        <v>1600</v>
      </c>
      <c r="AO566" t="s">
        <v>118</v>
      </c>
      <c r="AP566">
        <v>103</v>
      </c>
      <c r="AQ566">
        <v>-15</v>
      </c>
      <c r="AR566">
        <v>128</v>
      </c>
      <c r="AZ566">
        <v>300</v>
      </c>
      <c r="BA566">
        <v>1</v>
      </c>
      <c r="BB566" t="str">
        <f t="shared" si="26"/>
        <v xml:space="preserve">N162AM  </v>
      </c>
      <c r="BC566">
        <v>1</v>
      </c>
      <c r="BE566">
        <v>0</v>
      </c>
      <c r="BF566">
        <v>0</v>
      </c>
      <c r="BG566">
        <v>0</v>
      </c>
      <c r="BH566">
        <v>1850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>"14:45:02.466"</f>
        <v>14:45:02.466</v>
      </c>
      <c r="CJ566">
        <v>3</v>
      </c>
      <c r="CK566">
        <v>2</v>
      </c>
      <c r="CL566">
        <v>0</v>
      </c>
      <c r="CM566">
        <v>2</v>
      </c>
      <c r="CN566">
        <v>0</v>
      </c>
      <c r="CO566">
        <v>6</v>
      </c>
      <c r="CP566" t="s">
        <v>119</v>
      </c>
      <c r="CQ566">
        <v>232</v>
      </c>
      <c r="CR566">
        <v>2</v>
      </c>
      <c r="CW566">
        <v>6240685</v>
      </c>
      <c r="CY566">
        <v>1</v>
      </c>
      <c r="CZ566">
        <v>0</v>
      </c>
      <c r="DA566">
        <v>0</v>
      </c>
      <c r="DB566">
        <v>0</v>
      </c>
      <c r="DC566">
        <v>0</v>
      </c>
      <c r="DD566">
        <v>1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"12/16/2021 14:45:02.647"</f>
        <v>12/16/2021 14:45:02.647</v>
      </c>
      <c r="C567" t="str">
        <f t="shared" si="25"/>
        <v>FFDFD3C0</v>
      </c>
      <c r="D567" t="s">
        <v>124</v>
      </c>
      <c r="E567">
        <v>10</v>
      </c>
      <c r="F567">
        <v>1010</v>
      </c>
      <c r="G567" t="s">
        <v>130</v>
      </c>
      <c r="J567" t="s">
        <v>125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"14:45:02.461"</f>
        <v>14:45:02.461</v>
      </c>
      <c r="T567" t="str">
        <f>"14:45:02.061"</f>
        <v>14:45:02.061</v>
      </c>
      <c r="U567" t="str">
        <f t="shared" si="24"/>
        <v>A0F928</v>
      </c>
      <c r="V567">
        <v>0</v>
      </c>
      <c r="W567">
        <v>0</v>
      </c>
      <c r="X567">
        <v>2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0</v>
      </c>
      <c r="AG567">
        <v>2</v>
      </c>
      <c r="AH567">
        <v>1</v>
      </c>
      <c r="AI567" t="s">
        <v>405</v>
      </c>
      <c r="AJ567">
        <v>35.813842000000001</v>
      </c>
      <c r="AK567" t="s">
        <v>406</v>
      </c>
      <c r="AL567">
        <v>-83.941211999999993</v>
      </c>
      <c r="AM567">
        <v>25</v>
      </c>
      <c r="AN567">
        <v>1600</v>
      </c>
      <c r="AO567" t="s">
        <v>118</v>
      </c>
      <c r="AP567">
        <v>103</v>
      </c>
      <c r="AQ567">
        <v>-15</v>
      </c>
      <c r="AR567">
        <v>128</v>
      </c>
      <c r="AZ567">
        <v>300</v>
      </c>
      <c r="BA567">
        <v>1</v>
      </c>
      <c r="BB567" t="str">
        <f t="shared" si="26"/>
        <v xml:space="preserve">N162AM  </v>
      </c>
      <c r="BC567">
        <v>1</v>
      </c>
      <c r="BE567">
        <v>0</v>
      </c>
      <c r="BF567">
        <v>0</v>
      </c>
      <c r="BG567">
        <v>0</v>
      </c>
      <c r="BH567">
        <v>1850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>"14:45:02.466"</f>
        <v>14:45:02.466</v>
      </c>
      <c r="CJ567">
        <v>2</v>
      </c>
      <c r="CK567">
        <v>2</v>
      </c>
      <c r="CL567">
        <v>0</v>
      </c>
      <c r="CM567">
        <v>2</v>
      </c>
      <c r="CN567">
        <v>0</v>
      </c>
      <c r="CO567">
        <v>6</v>
      </c>
      <c r="CP567" t="s">
        <v>119</v>
      </c>
      <c r="CQ567">
        <v>232</v>
      </c>
      <c r="CR567">
        <v>2</v>
      </c>
      <c r="CW567">
        <v>6240685</v>
      </c>
      <c r="CY567">
        <v>1</v>
      </c>
      <c r="CZ567">
        <v>0</v>
      </c>
      <c r="DA567">
        <v>1</v>
      </c>
      <c r="DB567">
        <v>0</v>
      </c>
      <c r="DC567">
        <v>0</v>
      </c>
      <c r="DD567">
        <v>1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"12/16/2021 14:45:02.725"</f>
        <v>12/16/2021 14:45:02.725</v>
      </c>
      <c r="C568" t="str">
        <f t="shared" si="25"/>
        <v>FFDFD3C0</v>
      </c>
      <c r="D568" t="s">
        <v>124</v>
      </c>
      <c r="E568">
        <v>5</v>
      </c>
      <c r="F568">
        <v>1005</v>
      </c>
      <c r="G568" t="s">
        <v>114</v>
      </c>
      <c r="J568" t="s">
        <v>125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"14:45:02.461"</f>
        <v>14:45:02.461</v>
      </c>
      <c r="T568" t="str">
        <f>"14:45:02.061"</f>
        <v>14:45:02.061</v>
      </c>
      <c r="U568" t="str">
        <f t="shared" si="24"/>
        <v>A0F928</v>
      </c>
      <c r="V568">
        <v>0</v>
      </c>
      <c r="W568">
        <v>0</v>
      </c>
      <c r="X568">
        <v>2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1</v>
      </c>
      <c r="AI568" t="s">
        <v>405</v>
      </c>
      <c r="AJ568">
        <v>35.813842000000001</v>
      </c>
      <c r="AK568" t="s">
        <v>406</v>
      </c>
      <c r="AL568">
        <v>-83.941211999999993</v>
      </c>
      <c r="AM568">
        <v>25</v>
      </c>
      <c r="AN568">
        <v>1600</v>
      </c>
      <c r="AO568" t="s">
        <v>118</v>
      </c>
      <c r="AP568">
        <v>103</v>
      </c>
      <c r="AQ568">
        <v>-15</v>
      </c>
      <c r="AR568">
        <v>128</v>
      </c>
      <c r="AZ568">
        <v>300</v>
      </c>
      <c r="BA568">
        <v>1</v>
      </c>
      <c r="BB568" t="str">
        <f t="shared" si="26"/>
        <v xml:space="preserve">N162AM  </v>
      </c>
      <c r="BC568">
        <v>1</v>
      </c>
      <c r="BE568">
        <v>0</v>
      </c>
      <c r="BF568">
        <v>0</v>
      </c>
      <c r="BG568">
        <v>0</v>
      </c>
      <c r="BH568">
        <v>1850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>"14:45:02.466"</f>
        <v>14:45:02.466</v>
      </c>
      <c r="CJ568">
        <v>3</v>
      </c>
      <c r="CK568">
        <v>2</v>
      </c>
      <c r="CL568">
        <v>0</v>
      </c>
      <c r="CM568">
        <v>2</v>
      </c>
      <c r="CN568">
        <v>0</v>
      </c>
      <c r="CO568">
        <v>6</v>
      </c>
      <c r="CP568" t="s">
        <v>119</v>
      </c>
      <c r="CQ568">
        <v>232</v>
      </c>
      <c r="CR568">
        <v>2</v>
      </c>
      <c r="CW568">
        <v>6240685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1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"12/16/2021 14:45:02.725"</f>
        <v>12/16/2021 14:45:02.725</v>
      </c>
      <c r="C569" t="str">
        <f t="shared" si="25"/>
        <v>FFDFD3C0</v>
      </c>
      <c r="D569" t="s">
        <v>133</v>
      </c>
      <c r="E569">
        <v>44</v>
      </c>
      <c r="H569">
        <v>131</v>
      </c>
      <c r="I569" t="s">
        <v>134</v>
      </c>
      <c r="J569" t="s">
        <v>135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"14:45:02.461"</f>
        <v>14:45:02.461</v>
      </c>
      <c r="T569" t="str">
        <f>"14:45:02.061"</f>
        <v>14:45:02.061</v>
      </c>
      <c r="U569" t="str">
        <f t="shared" si="24"/>
        <v>A0F928</v>
      </c>
      <c r="V569">
        <v>0</v>
      </c>
      <c r="W569">
        <v>0</v>
      </c>
      <c r="X569">
        <v>2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1</v>
      </c>
      <c r="AI569" t="s">
        <v>405</v>
      </c>
      <c r="AJ569">
        <v>35.813842000000001</v>
      </c>
      <c r="AK569" t="s">
        <v>406</v>
      </c>
      <c r="AL569">
        <v>-83.941211999999993</v>
      </c>
      <c r="AM569">
        <v>25</v>
      </c>
      <c r="AN569">
        <v>1600</v>
      </c>
      <c r="AO569" t="s">
        <v>118</v>
      </c>
      <c r="AP569">
        <v>103</v>
      </c>
      <c r="AQ569">
        <v>-15</v>
      </c>
      <c r="AR569">
        <v>128</v>
      </c>
      <c r="AZ569">
        <v>300</v>
      </c>
      <c r="BA569">
        <v>1</v>
      </c>
      <c r="BB569" t="str">
        <f t="shared" si="26"/>
        <v xml:space="preserve">N162AM  </v>
      </c>
      <c r="BC569">
        <v>1</v>
      </c>
      <c r="BE569">
        <v>0</v>
      </c>
      <c r="BF569">
        <v>0</v>
      </c>
      <c r="BG569">
        <v>0</v>
      </c>
      <c r="BH569">
        <v>1850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>"14:45:02.466"</f>
        <v>14:45:02.466</v>
      </c>
      <c r="CJ569">
        <v>3</v>
      </c>
      <c r="CK569">
        <v>2</v>
      </c>
      <c r="CL569">
        <v>0</v>
      </c>
      <c r="CM569">
        <v>2</v>
      </c>
      <c r="CN569">
        <v>0</v>
      </c>
      <c r="CO569">
        <v>6</v>
      </c>
      <c r="CP569" t="s">
        <v>119</v>
      </c>
      <c r="CQ569">
        <v>232</v>
      </c>
      <c r="CR569">
        <v>2</v>
      </c>
      <c r="CW569">
        <v>6240685</v>
      </c>
      <c r="CY569">
        <v>1</v>
      </c>
      <c r="CZ569">
        <v>0</v>
      </c>
      <c r="DA569">
        <v>1</v>
      </c>
      <c r="DB569">
        <v>0</v>
      </c>
      <c r="DC569">
        <v>0</v>
      </c>
      <c r="DD569">
        <v>1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"12/16/2021 14:45:03.584"</f>
        <v>12/16/2021 14:45:03.584</v>
      </c>
      <c r="C570" t="str">
        <f t="shared" si="25"/>
        <v>FFDFD3C0</v>
      </c>
      <c r="D570" t="s">
        <v>133</v>
      </c>
      <c r="E570">
        <v>44</v>
      </c>
      <c r="H570">
        <v>131</v>
      </c>
      <c r="I570" t="s">
        <v>134</v>
      </c>
      <c r="J570" t="s">
        <v>135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"14:45:03.414"</f>
        <v>14:45:03.414</v>
      </c>
      <c r="T570" t="str">
        <f>"14:45:02.514"</f>
        <v>14:45:02.514</v>
      </c>
      <c r="U570" t="str">
        <f t="shared" si="24"/>
        <v>A0F928</v>
      </c>
      <c r="V570">
        <v>0</v>
      </c>
      <c r="W570">
        <v>0</v>
      </c>
      <c r="X570">
        <v>2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1</v>
      </c>
      <c r="AI570" t="s">
        <v>394</v>
      </c>
      <c r="AJ570">
        <v>35.813735000000001</v>
      </c>
      <c r="AK570" t="s">
        <v>407</v>
      </c>
      <c r="AL570">
        <v>-83.940760999999995</v>
      </c>
      <c r="AM570">
        <v>25</v>
      </c>
      <c r="AN570">
        <v>1600</v>
      </c>
      <c r="AO570" t="s">
        <v>118</v>
      </c>
      <c r="AP570">
        <v>101</v>
      </c>
      <c r="AQ570">
        <v>-19</v>
      </c>
      <c r="AR570">
        <v>128</v>
      </c>
      <c r="AZ570">
        <v>300</v>
      </c>
      <c r="BA570">
        <v>1</v>
      </c>
      <c r="BB570" t="str">
        <f t="shared" si="26"/>
        <v xml:space="preserve">N162AM  </v>
      </c>
      <c r="BC570">
        <v>1</v>
      </c>
      <c r="BE570">
        <v>0</v>
      </c>
      <c r="BF570">
        <v>0</v>
      </c>
      <c r="BG570">
        <v>0</v>
      </c>
      <c r="BH570">
        <v>1850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>"14:45:03.414"</f>
        <v>14:45:03.414</v>
      </c>
      <c r="CJ570">
        <v>3</v>
      </c>
      <c r="CK570">
        <v>2</v>
      </c>
      <c r="CL570">
        <v>0</v>
      </c>
      <c r="CM570">
        <v>2</v>
      </c>
      <c r="CN570">
        <v>0</v>
      </c>
      <c r="CO570">
        <v>6</v>
      </c>
      <c r="CP570" t="s">
        <v>119</v>
      </c>
      <c r="CQ570">
        <v>232</v>
      </c>
      <c r="CR570">
        <v>2</v>
      </c>
      <c r="CW570">
        <v>6242062</v>
      </c>
      <c r="CY570">
        <v>1</v>
      </c>
      <c r="CZ570">
        <v>0</v>
      </c>
      <c r="DA570">
        <v>0</v>
      </c>
      <c r="DB570">
        <v>0</v>
      </c>
      <c r="DC570">
        <v>0</v>
      </c>
      <c r="DD570">
        <v>1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"12/16/2021 14:45:03.600"</f>
        <v>12/16/2021 14:45:03.600</v>
      </c>
      <c r="C571" t="str">
        <f t="shared" si="25"/>
        <v>FFDFD3C0</v>
      </c>
      <c r="D571" t="s">
        <v>113</v>
      </c>
      <c r="E571">
        <v>8</v>
      </c>
      <c r="H571">
        <v>176</v>
      </c>
      <c r="I571" t="s">
        <v>114</v>
      </c>
      <c r="J571" t="s">
        <v>115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"14:45:03.414"</f>
        <v>14:45:03.414</v>
      </c>
      <c r="T571" t="str">
        <f>"14:45:02.514"</f>
        <v>14:45:02.514</v>
      </c>
      <c r="U571" t="str">
        <f t="shared" si="24"/>
        <v>A0F928</v>
      </c>
      <c r="V571">
        <v>0</v>
      </c>
      <c r="W571">
        <v>0</v>
      </c>
      <c r="X571">
        <v>2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1</v>
      </c>
      <c r="AI571" t="s">
        <v>394</v>
      </c>
      <c r="AJ571">
        <v>35.813735000000001</v>
      </c>
      <c r="AK571" t="s">
        <v>407</v>
      </c>
      <c r="AL571">
        <v>-83.940760999999995</v>
      </c>
      <c r="AM571">
        <v>25</v>
      </c>
      <c r="AN571">
        <v>1600</v>
      </c>
      <c r="AO571" t="s">
        <v>118</v>
      </c>
      <c r="AP571">
        <v>101</v>
      </c>
      <c r="AQ571">
        <v>-19</v>
      </c>
      <c r="AR571">
        <v>128</v>
      </c>
      <c r="AZ571">
        <v>300</v>
      </c>
      <c r="BA571">
        <v>1</v>
      </c>
      <c r="BB571" t="str">
        <f t="shared" si="26"/>
        <v xml:space="preserve">N162AM  </v>
      </c>
      <c r="BC571">
        <v>1</v>
      </c>
      <c r="BE571">
        <v>0</v>
      </c>
      <c r="BF571">
        <v>0</v>
      </c>
      <c r="BG571">
        <v>0</v>
      </c>
      <c r="BH571">
        <v>1850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>"14:45:03.414"</f>
        <v>14:45:03.414</v>
      </c>
      <c r="CJ571">
        <v>3</v>
      </c>
      <c r="CK571">
        <v>2</v>
      </c>
      <c r="CL571">
        <v>0</v>
      </c>
      <c r="CM571">
        <v>2</v>
      </c>
      <c r="CN571">
        <v>0</v>
      </c>
      <c r="CO571">
        <v>6</v>
      </c>
      <c r="CP571" t="s">
        <v>119</v>
      </c>
      <c r="CQ571">
        <v>232</v>
      </c>
      <c r="CR571">
        <v>2</v>
      </c>
      <c r="CW571">
        <v>6242062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1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"12/16/2021 14:45:03.616"</f>
        <v>12/16/2021 14:45:03.616</v>
      </c>
      <c r="C572" t="str">
        <f t="shared" si="25"/>
        <v>FFDFD3C0</v>
      </c>
      <c r="D572" t="s">
        <v>124</v>
      </c>
      <c r="E572">
        <v>10</v>
      </c>
      <c r="F572">
        <v>1010</v>
      </c>
      <c r="G572" t="s">
        <v>130</v>
      </c>
      <c r="J572" t="s">
        <v>125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"14:45:03.414"</f>
        <v>14:45:03.414</v>
      </c>
      <c r="T572" t="str">
        <f>"14:45:02.514"</f>
        <v>14:45:02.514</v>
      </c>
      <c r="U572" t="str">
        <f t="shared" si="24"/>
        <v>A0F928</v>
      </c>
      <c r="V572">
        <v>0</v>
      </c>
      <c r="W572">
        <v>0</v>
      </c>
      <c r="X572">
        <v>2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0</v>
      </c>
      <c r="AG572">
        <v>2</v>
      </c>
      <c r="AH572">
        <v>1</v>
      </c>
      <c r="AI572" t="s">
        <v>394</v>
      </c>
      <c r="AJ572">
        <v>35.813735000000001</v>
      </c>
      <c r="AK572" t="s">
        <v>407</v>
      </c>
      <c r="AL572">
        <v>-83.940760999999995</v>
      </c>
      <c r="AM572">
        <v>25</v>
      </c>
      <c r="AN572">
        <v>1600</v>
      </c>
      <c r="AO572" t="s">
        <v>118</v>
      </c>
      <c r="AP572">
        <v>101</v>
      </c>
      <c r="AQ572">
        <v>-19</v>
      </c>
      <c r="AR572">
        <v>128</v>
      </c>
      <c r="AZ572">
        <v>300</v>
      </c>
      <c r="BA572">
        <v>1</v>
      </c>
      <c r="BB572" t="str">
        <f t="shared" si="26"/>
        <v xml:space="preserve">N162AM  </v>
      </c>
      <c r="BC572">
        <v>1</v>
      </c>
      <c r="BE572">
        <v>0</v>
      </c>
      <c r="BF572">
        <v>0</v>
      </c>
      <c r="BG572">
        <v>0</v>
      </c>
      <c r="BH572">
        <v>1850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>"14:45:03.414"</f>
        <v>14:45:03.414</v>
      </c>
      <c r="CJ572">
        <v>2</v>
      </c>
      <c r="CK572">
        <v>2</v>
      </c>
      <c r="CL572">
        <v>0</v>
      </c>
      <c r="CM572">
        <v>2</v>
      </c>
      <c r="CN572">
        <v>0</v>
      </c>
      <c r="CO572">
        <v>6</v>
      </c>
      <c r="CP572" t="s">
        <v>119</v>
      </c>
      <c r="CQ572">
        <v>232</v>
      </c>
      <c r="CR572">
        <v>2</v>
      </c>
      <c r="CW572">
        <v>6242062</v>
      </c>
      <c r="CY572">
        <v>1</v>
      </c>
      <c r="CZ572">
        <v>0</v>
      </c>
      <c r="DA572">
        <v>1</v>
      </c>
      <c r="DB572">
        <v>0</v>
      </c>
      <c r="DC572">
        <v>0</v>
      </c>
      <c r="DD572">
        <v>1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"12/16/2021 14:45:03.631"</f>
        <v>12/16/2021 14:45:03.631</v>
      </c>
      <c r="C573" t="str">
        <f t="shared" si="25"/>
        <v>FFDFD3C0</v>
      </c>
      <c r="D573" t="s">
        <v>124</v>
      </c>
      <c r="E573">
        <v>5</v>
      </c>
      <c r="F573">
        <v>1005</v>
      </c>
      <c r="G573" t="s">
        <v>114</v>
      </c>
      <c r="J573" t="s">
        <v>125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"14:45:03.414"</f>
        <v>14:45:03.414</v>
      </c>
      <c r="T573" t="str">
        <f>"14:45:02.514"</f>
        <v>14:45:02.514</v>
      </c>
      <c r="U573" t="str">
        <f t="shared" si="24"/>
        <v>A0F928</v>
      </c>
      <c r="V573">
        <v>0</v>
      </c>
      <c r="W573">
        <v>0</v>
      </c>
      <c r="X573">
        <v>2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1</v>
      </c>
      <c r="AI573" t="s">
        <v>394</v>
      </c>
      <c r="AJ573">
        <v>35.813735000000001</v>
      </c>
      <c r="AK573" t="s">
        <v>407</v>
      </c>
      <c r="AL573">
        <v>-83.940760999999995</v>
      </c>
      <c r="AM573">
        <v>25</v>
      </c>
      <c r="AN573">
        <v>1600</v>
      </c>
      <c r="AO573" t="s">
        <v>118</v>
      </c>
      <c r="AP573">
        <v>101</v>
      </c>
      <c r="AQ573">
        <v>-19</v>
      </c>
      <c r="AR573">
        <v>128</v>
      </c>
      <c r="AZ573">
        <v>300</v>
      </c>
      <c r="BA573">
        <v>1</v>
      </c>
      <c r="BB573" t="str">
        <f t="shared" si="26"/>
        <v xml:space="preserve">N162AM  </v>
      </c>
      <c r="BC573">
        <v>1</v>
      </c>
      <c r="BE573">
        <v>0</v>
      </c>
      <c r="BF573">
        <v>0</v>
      </c>
      <c r="BG573">
        <v>0</v>
      </c>
      <c r="BH573">
        <v>1850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>"14:45:03.414"</f>
        <v>14:45:03.414</v>
      </c>
      <c r="CJ573">
        <v>3</v>
      </c>
      <c r="CK573">
        <v>2</v>
      </c>
      <c r="CL573">
        <v>0</v>
      </c>
      <c r="CM573">
        <v>2</v>
      </c>
      <c r="CN573">
        <v>0</v>
      </c>
      <c r="CO573">
        <v>6</v>
      </c>
      <c r="CP573" t="s">
        <v>119</v>
      </c>
      <c r="CQ573">
        <v>232</v>
      </c>
      <c r="CR573">
        <v>2</v>
      </c>
      <c r="CW573">
        <v>6242062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1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"12/16/2021 14:45:05.114"</f>
        <v>12/16/2021 14:45:05.114</v>
      </c>
      <c r="C574" t="str">
        <f t="shared" si="25"/>
        <v>FFDFD3C0</v>
      </c>
      <c r="D574" t="s">
        <v>124</v>
      </c>
      <c r="E574">
        <v>10</v>
      </c>
      <c r="F574">
        <v>1010</v>
      </c>
      <c r="G574" t="s">
        <v>130</v>
      </c>
      <c r="J574" t="s">
        <v>125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"14:45:04.898"</f>
        <v>14:45:04.898</v>
      </c>
      <c r="T574" t="str">
        <f>"14:45:04.398"</f>
        <v>14:45:04.398</v>
      </c>
      <c r="U574" t="str">
        <f t="shared" si="24"/>
        <v>A0F928</v>
      </c>
      <c r="V574">
        <v>0</v>
      </c>
      <c r="W574">
        <v>0</v>
      </c>
      <c r="X574">
        <v>2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0</v>
      </c>
      <c r="AG574">
        <v>2</v>
      </c>
      <c r="AH574">
        <v>1</v>
      </c>
      <c r="AI574" t="s">
        <v>408</v>
      </c>
      <c r="AJ574">
        <v>35.813519999999997</v>
      </c>
      <c r="AK574" t="s">
        <v>409</v>
      </c>
      <c r="AL574">
        <v>-83.939881</v>
      </c>
      <c r="AM574">
        <v>25</v>
      </c>
      <c r="AN574">
        <v>1600</v>
      </c>
      <c r="AO574" t="s">
        <v>118</v>
      </c>
      <c r="AP574">
        <v>97</v>
      </c>
      <c r="AQ574">
        <v>-30</v>
      </c>
      <c r="AR574">
        <v>64</v>
      </c>
      <c r="AZ574">
        <v>300</v>
      </c>
      <c r="BA574">
        <v>1</v>
      </c>
      <c r="BB574" t="str">
        <f t="shared" si="26"/>
        <v xml:space="preserve">N162AM  </v>
      </c>
      <c r="BC574">
        <v>1</v>
      </c>
      <c r="BE574">
        <v>0</v>
      </c>
      <c r="BF574">
        <v>0</v>
      </c>
      <c r="BG574">
        <v>0</v>
      </c>
      <c r="BH574">
        <v>1850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>"14:45:04.900"</f>
        <v>14:45:04.900</v>
      </c>
      <c r="CJ574">
        <v>2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119</v>
      </c>
      <c r="CQ574">
        <v>232</v>
      </c>
      <c r="CR574">
        <v>2</v>
      </c>
      <c r="CW574">
        <v>6244516</v>
      </c>
      <c r="CY574">
        <v>1</v>
      </c>
      <c r="CZ574">
        <v>0</v>
      </c>
      <c r="DA574">
        <v>0</v>
      </c>
      <c r="DB574">
        <v>0</v>
      </c>
      <c r="DC574">
        <v>0</v>
      </c>
      <c r="DD574">
        <v>1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"12/16/2021 14:45:05.161"</f>
        <v>12/16/2021 14:45:05.161</v>
      </c>
      <c r="C575" t="str">
        <f t="shared" si="25"/>
        <v>FFDFD3C0</v>
      </c>
      <c r="D575" t="s">
        <v>113</v>
      </c>
      <c r="E575">
        <v>8</v>
      </c>
      <c r="H575">
        <v>176</v>
      </c>
      <c r="I575" t="s">
        <v>114</v>
      </c>
      <c r="J575" t="s">
        <v>115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"14:45:04.898"</f>
        <v>14:45:04.898</v>
      </c>
      <c r="T575" t="str">
        <f>"14:45:04.398"</f>
        <v>14:45:04.398</v>
      </c>
      <c r="U575" t="str">
        <f t="shared" si="24"/>
        <v>A0F928</v>
      </c>
      <c r="V575">
        <v>0</v>
      </c>
      <c r="W575">
        <v>0</v>
      </c>
      <c r="X575">
        <v>2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1</v>
      </c>
      <c r="AI575" t="s">
        <v>408</v>
      </c>
      <c r="AJ575">
        <v>35.813519999999997</v>
      </c>
      <c r="AK575" t="s">
        <v>409</v>
      </c>
      <c r="AL575">
        <v>-83.939881</v>
      </c>
      <c r="AM575">
        <v>25</v>
      </c>
      <c r="AN575">
        <v>1600</v>
      </c>
      <c r="AO575" t="s">
        <v>118</v>
      </c>
      <c r="AP575">
        <v>97</v>
      </c>
      <c r="AQ575">
        <v>-30</v>
      </c>
      <c r="AR575">
        <v>64</v>
      </c>
      <c r="AZ575">
        <v>300</v>
      </c>
      <c r="BA575">
        <v>1</v>
      </c>
      <c r="BB575" t="str">
        <f t="shared" si="26"/>
        <v xml:space="preserve">N162AM  </v>
      </c>
      <c r="BC575">
        <v>1</v>
      </c>
      <c r="BE575">
        <v>0</v>
      </c>
      <c r="BF575">
        <v>0</v>
      </c>
      <c r="BG575">
        <v>0</v>
      </c>
      <c r="BH575">
        <v>1850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>"14:45:04.900"</f>
        <v>14:45:04.900</v>
      </c>
      <c r="CJ575">
        <v>3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232</v>
      </c>
      <c r="CR575">
        <v>2</v>
      </c>
      <c r="CW575">
        <v>6244516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1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"12/16/2021 14:45:05.161"</f>
        <v>12/16/2021 14:45:05.161</v>
      </c>
      <c r="C576" t="str">
        <f t="shared" si="25"/>
        <v>FFDFD3C0</v>
      </c>
      <c r="D576" t="s">
        <v>124</v>
      </c>
      <c r="E576">
        <v>5</v>
      </c>
      <c r="F576">
        <v>1005</v>
      </c>
      <c r="G576" t="s">
        <v>114</v>
      </c>
      <c r="J576" t="s">
        <v>125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"14:45:04.898"</f>
        <v>14:45:04.898</v>
      </c>
      <c r="T576" t="str">
        <f>"14:45:04.398"</f>
        <v>14:45:04.398</v>
      </c>
      <c r="U576" t="str">
        <f t="shared" si="24"/>
        <v>A0F928</v>
      </c>
      <c r="V576">
        <v>0</v>
      </c>
      <c r="W576">
        <v>0</v>
      </c>
      <c r="X576">
        <v>2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1</v>
      </c>
      <c r="AI576" t="s">
        <v>408</v>
      </c>
      <c r="AJ576">
        <v>35.813519999999997</v>
      </c>
      <c r="AK576" t="s">
        <v>409</v>
      </c>
      <c r="AL576">
        <v>-83.939881</v>
      </c>
      <c r="AM576">
        <v>25</v>
      </c>
      <c r="AN576">
        <v>1600</v>
      </c>
      <c r="AO576" t="s">
        <v>118</v>
      </c>
      <c r="AP576">
        <v>97</v>
      </c>
      <c r="AQ576">
        <v>-30</v>
      </c>
      <c r="AR576">
        <v>64</v>
      </c>
      <c r="AZ576">
        <v>300</v>
      </c>
      <c r="BA576">
        <v>1</v>
      </c>
      <c r="BB576" t="str">
        <f t="shared" si="26"/>
        <v xml:space="preserve">N162AM  </v>
      </c>
      <c r="BC576">
        <v>1</v>
      </c>
      <c r="BE576">
        <v>0</v>
      </c>
      <c r="BF576">
        <v>0</v>
      </c>
      <c r="BG576">
        <v>0</v>
      </c>
      <c r="BH576">
        <v>1850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>"14:45:04.900"</f>
        <v>14:45:04.900</v>
      </c>
      <c r="CJ576">
        <v>3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232</v>
      </c>
      <c r="CR576">
        <v>2</v>
      </c>
      <c r="CW576">
        <v>6244516</v>
      </c>
      <c r="CY576">
        <v>1</v>
      </c>
      <c r="CZ576">
        <v>0</v>
      </c>
      <c r="DA576">
        <v>1</v>
      </c>
      <c r="DB576">
        <v>0</v>
      </c>
      <c r="DC576">
        <v>0</v>
      </c>
      <c r="DD576">
        <v>1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"12/16/2021 14:45:05.161"</f>
        <v>12/16/2021 14:45:05.161</v>
      </c>
      <c r="C577" t="str">
        <f t="shared" si="25"/>
        <v>FFDFD3C0</v>
      </c>
      <c r="D577" t="s">
        <v>133</v>
      </c>
      <c r="E577">
        <v>44</v>
      </c>
      <c r="H577">
        <v>131</v>
      </c>
      <c r="I577" t="s">
        <v>134</v>
      </c>
      <c r="J577" t="s">
        <v>135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"14:45:04.898"</f>
        <v>14:45:04.898</v>
      </c>
      <c r="T577" t="str">
        <f>"14:45:04.398"</f>
        <v>14:45:04.398</v>
      </c>
      <c r="U577" t="str">
        <f t="shared" si="24"/>
        <v>A0F928</v>
      </c>
      <c r="V577">
        <v>0</v>
      </c>
      <c r="W577">
        <v>0</v>
      </c>
      <c r="X577">
        <v>2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1</v>
      </c>
      <c r="AI577" t="s">
        <v>408</v>
      </c>
      <c r="AJ577">
        <v>35.813519999999997</v>
      </c>
      <c r="AK577" t="s">
        <v>409</v>
      </c>
      <c r="AL577">
        <v>-83.939881</v>
      </c>
      <c r="AM577">
        <v>25</v>
      </c>
      <c r="AN577">
        <v>1600</v>
      </c>
      <c r="AO577" t="s">
        <v>118</v>
      </c>
      <c r="AP577">
        <v>97</v>
      </c>
      <c r="AQ577">
        <v>-30</v>
      </c>
      <c r="AR577">
        <v>64</v>
      </c>
      <c r="AZ577">
        <v>300</v>
      </c>
      <c r="BA577">
        <v>1</v>
      </c>
      <c r="BB577" t="str">
        <f t="shared" si="26"/>
        <v xml:space="preserve">N162AM  </v>
      </c>
      <c r="BC577">
        <v>1</v>
      </c>
      <c r="BE577">
        <v>0</v>
      </c>
      <c r="BF577">
        <v>0</v>
      </c>
      <c r="BG577">
        <v>0</v>
      </c>
      <c r="BH577">
        <v>1850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>"14:45:04.900"</f>
        <v>14:45:04.900</v>
      </c>
      <c r="CJ577">
        <v>3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232</v>
      </c>
      <c r="CR577">
        <v>2</v>
      </c>
      <c r="CW577">
        <v>6244516</v>
      </c>
      <c r="CY577">
        <v>1</v>
      </c>
      <c r="CZ577">
        <v>0</v>
      </c>
      <c r="DA577">
        <v>1</v>
      </c>
      <c r="DB577">
        <v>0</v>
      </c>
      <c r="DC577">
        <v>0</v>
      </c>
      <c r="DD577">
        <v>1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"12/16/2021 14:45:06.505"</f>
        <v>12/16/2021 14:45:06.505</v>
      </c>
      <c r="C578" t="str">
        <f t="shared" si="25"/>
        <v>FFDFD3C0</v>
      </c>
      <c r="D578" t="s">
        <v>133</v>
      </c>
      <c r="E578">
        <v>44</v>
      </c>
      <c r="H578">
        <v>131</v>
      </c>
      <c r="I578" t="s">
        <v>134</v>
      </c>
      <c r="J578" t="s">
        <v>135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"14:45:06.234"</f>
        <v>14:45:06.234</v>
      </c>
      <c r="T578" t="str">
        <f>"14:45:05.834"</f>
        <v>14:45:05.834</v>
      </c>
      <c r="U578" t="str">
        <f t="shared" ref="U578:U641" si="27">"A0F928"</f>
        <v>A0F928</v>
      </c>
      <c r="V578">
        <v>0</v>
      </c>
      <c r="W578">
        <v>0</v>
      </c>
      <c r="X578">
        <v>2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1</v>
      </c>
      <c r="AI578" t="s">
        <v>390</v>
      </c>
      <c r="AJ578">
        <v>35.813284000000003</v>
      </c>
      <c r="AK578" t="s">
        <v>410</v>
      </c>
      <c r="AL578">
        <v>-83.939216000000002</v>
      </c>
      <c r="AM578">
        <v>25</v>
      </c>
      <c r="AN578">
        <v>1625</v>
      </c>
      <c r="AO578" t="s">
        <v>118</v>
      </c>
      <c r="AP578">
        <v>92</v>
      </c>
      <c r="AQ578">
        <v>-38</v>
      </c>
      <c r="AR578">
        <v>64</v>
      </c>
      <c r="AZ578">
        <v>300</v>
      </c>
      <c r="BA578">
        <v>1</v>
      </c>
      <c r="BB578" t="str">
        <f t="shared" si="26"/>
        <v xml:space="preserve">N162AM  </v>
      </c>
      <c r="BC578">
        <v>1</v>
      </c>
      <c r="BE578">
        <v>0</v>
      </c>
      <c r="BF578">
        <v>0</v>
      </c>
      <c r="BG578">
        <v>0</v>
      </c>
      <c r="BH578">
        <v>1875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>"14:45:06.237"</f>
        <v>14:45:06.237</v>
      </c>
      <c r="CJ578">
        <v>3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119</v>
      </c>
      <c r="CQ578">
        <v>232</v>
      </c>
      <c r="CR578">
        <v>1</v>
      </c>
      <c r="CW578">
        <v>15050916</v>
      </c>
      <c r="CY578">
        <v>1</v>
      </c>
      <c r="CZ578">
        <v>0</v>
      </c>
      <c r="DA578">
        <v>0</v>
      </c>
      <c r="DB578">
        <v>0</v>
      </c>
      <c r="DC578">
        <v>0</v>
      </c>
      <c r="DD578">
        <v>1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"12/16/2021 14:45:06.505"</f>
        <v>12/16/2021 14:45:06.505</v>
      </c>
      <c r="C579" t="str">
        <f t="shared" si="25"/>
        <v>FFDFD3C0</v>
      </c>
      <c r="D579" t="s">
        <v>124</v>
      </c>
      <c r="E579">
        <v>10</v>
      </c>
      <c r="F579">
        <v>1010</v>
      </c>
      <c r="G579" t="s">
        <v>130</v>
      </c>
      <c r="J579" t="s">
        <v>125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"14:45:06.234"</f>
        <v>14:45:06.234</v>
      </c>
      <c r="T579" t="str">
        <f>"14:45:05.834"</f>
        <v>14:45:05.834</v>
      </c>
      <c r="U579" t="str">
        <f t="shared" si="27"/>
        <v>A0F928</v>
      </c>
      <c r="V579">
        <v>0</v>
      </c>
      <c r="W579">
        <v>0</v>
      </c>
      <c r="X579">
        <v>2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0</v>
      </c>
      <c r="AG579">
        <v>2</v>
      </c>
      <c r="AH579">
        <v>1</v>
      </c>
      <c r="AI579" t="s">
        <v>390</v>
      </c>
      <c r="AJ579">
        <v>35.813284000000003</v>
      </c>
      <c r="AK579" t="s">
        <v>410</v>
      </c>
      <c r="AL579">
        <v>-83.939216000000002</v>
      </c>
      <c r="AM579">
        <v>25</v>
      </c>
      <c r="AN579">
        <v>1625</v>
      </c>
      <c r="AO579" t="s">
        <v>118</v>
      </c>
      <c r="AP579">
        <v>92</v>
      </c>
      <c r="AQ579">
        <v>-38</v>
      </c>
      <c r="AR579">
        <v>64</v>
      </c>
      <c r="AZ579">
        <v>300</v>
      </c>
      <c r="BA579">
        <v>1</v>
      </c>
      <c r="BB579" t="str">
        <f t="shared" si="26"/>
        <v xml:space="preserve">N162AM  </v>
      </c>
      <c r="BC579">
        <v>1</v>
      </c>
      <c r="BE579">
        <v>0</v>
      </c>
      <c r="BF579">
        <v>0</v>
      </c>
      <c r="BG579">
        <v>0</v>
      </c>
      <c r="BH579">
        <v>1875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>"14:45:06.237"</f>
        <v>14:45:06.237</v>
      </c>
      <c r="CJ579">
        <v>2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232</v>
      </c>
      <c r="CR579">
        <v>1</v>
      </c>
      <c r="CW579">
        <v>15050916</v>
      </c>
      <c r="CY579">
        <v>1</v>
      </c>
      <c r="CZ579">
        <v>0</v>
      </c>
      <c r="DA579">
        <v>1</v>
      </c>
      <c r="DB579">
        <v>0</v>
      </c>
      <c r="DC579">
        <v>0</v>
      </c>
      <c r="DD579">
        <v>1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"12/16/2021 14:45:06.505"</f>
        <v>12/16/2021 14:45:06.505</v>
      </c>
      <c r="C580" t="str">
        <f t="shared" si="25"/>
        <v>FFDFD3C0</v>
      </c>
      <c r="D580" t="s">
        <v>113</v>
      </c>
      <c r="E580">
        <v>8</v>
      </c>
      <c r="H580">
        <v>176</v>
      </c>
      <c r="I580" t="s">
        <v>114</v>
      </c>
      <c r="J580" t="s">
        <v>115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"14:45:06.234"</f>
        <v>14:45:06.234</v>
      </c>
      <c r="T580" t="str">
        <f>"14:45:05.834"</f>
        <v>14:45:05.834</v>
      </c>
      <c r="U580" t="str">
        <f t="shared" si="27"/>
        <v>A0F928</v>
      </c>
      <c r="V580">
        <v>0</v>
      </c>
      <c r="W580">
        <v>0</v>
      </c>
      <c r="X580">
        <v>2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1</v>
      </c>
      <c r="AI580" t="s">
        <v>390</v>
      </c>
      <c r="AJ580">
        <v>35.813284000000003</v>
      </c>
      <c r="AK580" t="s">
        <v>410</v>
      </c>
      <c r="AL580">
        <v>-83.939216000000002</v>
      </c>
      <c r="AM580">
        <v>25</v>
      </c>
      <c r="AN580">
        <v>1625</v>
      </c>
      <c r="AO580" t="s">
        <v>118</v>
      </c>
      <c r="AP580">
        <v>92</v>
      </c>
      <c r="AQ580">
        <v>-38</v>
      </c>
      <c r="AR580">
        <v>64</v>
      </c>
      <c r="AZ580">
        <v>300</v>
      </c>
      <c r="BA580">
        <v>1</v>
      </c>
      <c r="BB580" t="str">
        <f t="shared" si="26"/>
        <v xml:space="preserve">N162AM  </v>
      </c>
      <c r="BC580">
        <v>1</v>
      </c>
      <c r="BE580">
        <v>0</v>
      </c>
      <c r="BF580">
        <v>0</v>
      </c>
      <c r="BG580">
        <v>0</v>
      </c>
      <c r="BH580">
        <v>1875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>"14:45:06.237"</f>
        <v>14:45:06.237</v>
      </c>
      <c r="CJ580">
        <v>3</v>
      </c>
      <c r="CK580">
        <v>2</v>
      </c>
      <c r="CL580">
        <v>0</v>
      </c>
      <c r="CM580">
        <v>2</v>
      </c>
      <c r="CN580">
        <v>0</v>
      </c>
      <c r="CO580">
        <v>7</v>
      </c>
      <c r="CP580" t="s">
        <v>119</v>
      </c>
      <c r="CQ580">
        <v>232</v>
      </c>
      <c r="CR580">
        <v>1</v>
      </c>
      <c r="CW580">
        <v>15050916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1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"12/16/2021 14:45:06.505"</f>
        <v>12/16/2021 14:45:06.505</v>
      </c>
      <c r="C581" t="str">
        <f t="shared" si="25"/>
        <v>FFDFD3C0</v>
      </c>
      <c r="D581" t="s">
        <v>124</v>
      </c>
      <c r="E581">
        <v>5</v>
      </c>
      <c r="F581">
        <v>1005</v>
      </c>
      <c r="G581" t="s">
        <v>114</v>
      </c>
      <c r="J581" t="s">
        <v>125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"14:45:06.234"</f>
        <v>14:45:06.234</v>
      </c>
      <c r="T581" t="str">
        <f>"14:45:05.834"</f>
        <v>14:45:05.834</v>
      </c>
      <c r="U581" t="str">
        <f t="shared" si="27"/>
        <v>A0F928</v>
      </c>
      <c r="V581">
        <v>0</v>
      </c>
      <c r="W581">
        <v>0</v>
      </c>
      <c r="X581">
        <v>2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1</v>
      </c>
      <c r="AI581" t="s">
        <v>390</v>
      </c>
      <c r="AJ581">
        <v>35.813284000000003</v>
      </c>
      <c r="AK581" t="s">
        <v>410</v>
      </c>
      <c r="AL581">
        <v>-83.939216000000002</v>
      </c>
      <c r="AM581">
        <v>25</v>
      </c>
      <c r="AN581">
        <v>1625</v>
      </c>
      <c r="AO581" t="s">
        <v>118</v>
      </c>
      <c r="AP581">
        <v>92</v>
      </c>
      <c r="AQ581">
        <v>-38</v>
      </c>
      <c r="AR581">
        <v>64</v>
      </c>
      <c r="AZ581">
        <v>300</v>
      </c>
      <c r="BA581">
        <v>1</v>
      </c>
      <c r="BB581" t="str">
        <f t="shared" si="26"/>
        <v xml:space="preserve">N162AM  </v>
      </c>
      <c r="BC581">
        <v>1</v>
      </c>
      <c r="BE581">
        <v>0</v>
      </c>
      <c r="BF581">
        <v>0</v>
      </c>
      <c r="BG581">
        <v>0</v>
      </c>
      <c r="BH581">
        <v>1875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>"14:45:06.237"</f>
        <v>14:45:06.237</v>
      </c>
      <c r="CJ581">
        <v>3</v>
      </c>
      <c r="CK581">
        <v>2</v>
      </c>
      <c r="CL581">
        <v>0</v>
      </c>
      <c r="CM581">
        <v>2</v>
      </c>
      <c r="CN581">
        <v>0</v>
      </c>
      <c r="CO581">
        <v>7</v>
      </c>
      <c r="CP581" t="s">
        <v>119</v>
      </c>
      <c r="CQ581">
        <v>232</v>
      </c>
      <c r="CR581">
        <v>1</v>
      </c>
      <c r="CW581">
        <v>15050916</v>
      </c>
      <c r="CY581">
        <v>1</v>
      </c>
      <c r="CZ581">
        <v>0</v>
      </c>
      <c r="DA581">
        <v>1</v>
      </c>
      <c r="DB581">
        <v>0</v>
      </c>
      <c r="DC581">
        <v>0</v>
      </c>
      <c r="DD581">
        <v>1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"12/16/2021 14:45:07.865"</f>
        <v>12/16/2021 14:45:07.865</v>
      </c>
      <c r="C582" t="str">
        <f t="shared" si="25"/>
        <v>FFDFD3C0</v>
      </c>
      <c r="D582" t="s">
        <v>113</v>
      </c>
      <c r="E582">
        <v>8</v>
      </c>
      <c r="H582">
        <v>176</v>
      </c>
      <c r="I582" t="s">
        <v>114</v>
      </c>
      <c r="J582" t="s">
        <v>115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"14:45:07.672"</f>
        <v>14:45:07.672</v>
      </c>
      <c r="T582" t="str">
        <f>"14:45:07.172"</f>
        <v>14:45:07.172</v>
      </c>
      <c r="U582" t="str">
        <f t="shared" si="27"/>
        <v>A0F928</v>
      </c>
      <c r="V582">
        <v>0</v>
      </c>
      <c r="W582">
        <v>0</v>
      </c>
      <c r="X582">
        <v>2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1</v>
      </c>
      <c r="AI582" t="s">
        <v>411</v>
      </c>
      <c r="AJ582">
        <v>35.812961999999999</v>
      </c>
      <c r="AK582" t="s">
        <v>412</v>
      </c>
      <c r="AL582">
        <v>-83.938464999999994</v>
      </c>
      <c r="AM582">
        <v>25</v>
      </c>
      <c r="AN582">
        <v>1625</v>
      </c>
      <c r="AO582" t="s">
        <v>118</v>
      </c>
      <c r="AP582">
        <v>87</v>
      </c>
      <c r="AQ582">
        <v>-45</v>
      </c>
      <c r="AR582">
        <v>64</v>
      </c>
      <c r="AZ582">
        <v>300</v>
      </c>
      <c r="BA582">
        <v>1</v>
      </c>
      <c r="BB582" t="str">
        <f t="shared" si="26"/>
        <v xml:space="preserve">N162AM  </v>
      </c>
      <c r="BC582">
        <v>1</v>
      </c>
      <c r="BE582">
        <v>0</v>
      </c>
      <c r="BF582">
        <v>0</v>
      </c>
      <c r="BG582">
        <v>0</v>
      </c>
      <c r="BH582">
        <v>1875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>"14:45:07.674"</f>
        <v>14:45:07.674</v>
      </c>
      <c r="CJ582">
        <v>3</v>
      </c>
      <c r="CK582">
        <v>2</v>
      </c>
      <c r="CL582">
        <v>0</v>
      </c>
      <c r="CM582">
        <v>2</v>
      </c>
      <c r="CN582">
        <v>0</v>
      </c>
      <c r="CO582">
        <v>6</v>
      </c>
      <c r="CP582" t="s">
        <v>119</v>
      </c>
      <c r="CQ582">
        <v>232</v>
      </c>
      <c r="CR582">
        <v>1</v>
      </c>
      <c r="CW582">
        <v>15053070</v>
      </c>
      <c r="CY582">
        <v>1</v>
      </c>
      <c r="CZ582">
        <v>0</v>
      </c>
      <c r="DA582">
        <v>0</v>
      </c>
      <c r="DB582">
        <v>0</v>
      </c>
      <c r="DC582">
        <v>0</v>
      </c>
      <c r="DD582">
        <v>1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"12/16/2021 14:45:07.865"</f>
        <v>12/16/2021 14:45:07.865</v>
      </c>
      <c r="C583" t="str">
        <f t="shared" si="25"/>
        <v>FFDFD3C0</v>
      </c>
      <c r="D583" t="s">
        <v>124</v>
      </c>
      <c r="E583">
        <v>5</v>
      </c>
      <c r="F583">
        <v>1005</v>
      </c>
      <c r="G583" t="s">
        <v>114</v>
      </c>
      <c r="J583" t="s">
        <v>125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"14:45:07.672"</f>
        <v>14:45:07.672</v>
      </c>
      <c r="T583" t="str">
        <f>"14:45:07.172"</f>
        <v>14:45:07.172</v>
      </c>
      <c r="U583" t="str">
        <f t="shared" si="27"/>
        <v>A0F928</v>
      </c>
      <c r="V583">
        <v>0</v>
      </c>
      <c r="W583">
        <v>0</v>
      </c>
      <c r="X583">
        <v>2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1</v>
      </c>
      <c r="AI583" t="s">
        <v>411</v>
      </c>
      <c r="AJ583">
        <v>35.812961999999999</v>
      </c>
      <c r="AK583" t="s">
        <v>412</v>
      </c>
      <c r="AL583">
        <v>-83.938464999999994</v>
      </c>
      <c r="AM583">
        <v>25</v>
      </c>
      <c r="AN583">
        <v>1625</v>
      </c>
      <c r="AO583" t="s">
        <v>118</v>
      </c>
      <c r="AP583">
        <v>87</v>
      </c>
      <c r="AQ583">
        <v>-45</v>
      </c>
      <c r="AR583">
        <v>64</v>
      </c>
      <c r="AZ583">
        <v>300</v>
      </c>
      <c r="BA583">
        <v>1</v>
      </c>
      <c r="BB583" t="str">
        <f t="shared" si="26"/>
        <v xml:space="preserve">N162AM  </v>
      </c>
      <c r="BC583">
        <v>1</v>
      </c>
      <c r="BE583">
        <v>0</v>
      </c>
      <c r="BF583">
        <v>0</v>
      </c>
      <c r="BG583">
        <v>0</v>
      </c>
      <c r="BH583">
        <v>1875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>"14:45:07.674"</f>
        <v>14:45:07.674</v>
      </c>
      <c r="CJ583">
        <v>3</v>
      </c>
      <c r="CK583">
        <v>2</v>
      </c>
      <c r="CL583">
        <v>0</v>
      </c>
      <c r="CM583">
        <v>2</v>
      </c>
      <c r="CN583">
        <v>0</v>
      </c>
      <c r="CO583">
        <v>6</v>
      </c>
      <c r="CP583" t="s">
        <v>119</v>
      </c>
      <c r="CQ583">
        <v>232</v>
      </c>
      <c r="CR583">
        <v>1</v>
      </c>
      <c r="CW583">
        <v>15053070</v>
      </c>
      <c r="CY583">
        <v>1</v>
      </c>
      <c r="CZ583">
        <v>0</v>
      </c>
      <c r="DA583">
        <v>1</v>
      </c>
      <c r="DB583">
        <v>0</v>
      </c>
      <c r="DC583">
        <v>0</v>
      </c>
      <c r="DD583">
        <v>1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"12/16/2021 14:45:07.896"</f>
        <v>12/16/2021 14:45:07.896</v>
      </c>
      <c r="C584" t="str">
        <f t="shared" si="25"/>
        <v>FFDFD3C0</v>
      </c>
      <c r="D584" t="s">
        <v>124</v>
      </c>
      <c r="E584">
        <v>10</v>
      </c>
      <c r="F584">
        <v>1010</v>
      </c>
      <c r="G584" t="s">
        <v>130</v>
      </c>
      <c r="J584" t="s">
        <v>125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"14:45:07.672"</f>
        <v>14:45:07.672</v>
      </c>
      <c r="T584" t="str">
        <f>"14:45:07.172"</f>
        <v>14:45:07.172</v>
      </c>
      <c r="U584" t="str">
        <f t="shared" si="27"/>
        <v>A0F928</v>
      </c>
      <c r="V584">
        <v>0</v>
      </c>
      <c r="W584">
        <v>0</v>
      </c>
      <c r="X584">
        <v>2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0</v>
      </c>
      <c r="AG584">
        <v>2</v>
      </c>
      <c r="AH584">
        <v>1</v>
      </c>
      <c r="AI584" t="s">
        <v>411</v>
      </c>
      <c r="AJ584">
        <v>35.812961999999999</v>
      </c>
      <c r="AK584" t="s">
        <v>412</v>
      </c>
      <c r="AL584">
        <v>-83.938464999999994</v>
      </c>
      <c r="AM584">
        <v>25</v>
      </c>
      <c r="AN584">
        <v>1625</v>
      </c>
      <c r="AO584" t="s">
        <v>118</v>
      </c>
      <c r="AP584">
        <v>87</v>
      </c>
      <c r="AQ584">
        <v>-45</v>
      </c>
      <c r="AR584">
        <v>64</v>
      </c>
      <c r="AZ584">
        <v>300</v>
      </c>
      <c r="BA584">
        <v>1</v>
      </c>
      <c r="BB584" t="str">
        <f t="shared" si="26"/>
        <v xml:space="preserve">N162AM  </v>
      </c>
      <c r="BC584">
        <v>1</v>
      </c>
      <c r="BE584">
        <v>0</v>
      </c>
      <c r="BF584">
        <v>0</v>
      </c>
      <c r="BG584">
        <v>0</v>
      </c>
      <c r="BH584">
        <v>1875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>"14:45:07.674"</f>
        <v>14:45:07.674</v>
      </c>
      <c r="CJ584">
        <v>2</v>
      </c>
      <c r="CK584">
        <v>2</v>
      </c>
      <c r="CL584">
        <v>0</v>
      </c>
      <c r="CM584">
        <v>2</v>
      </c>
      <c r="CN584">
        <v>0</v>
      </c>
      <c r="CO584">
        <v>6</v>
      </c>
      <c r="CP584" t="s">
        <v>119</v>
      </c>
      <c r="CQ584">
        <v>232</v>
      </c>
      <c r="CR584">
        <v>1</v>
      </c>
      <c r="CW584">
        <v>15053070</v>
      </c>
      <c r="CY584">
        <v>1</v>
      </c>
      <c r="CZ584">
        <v>0</v>
      </c>
      <c r="DA584">
        <v>1</v>
      </c>
      <c r="DB584">
        <v>0</v>
      </c>
      <c r="DC584">
        <v>0</v>
      </c>
      <c r="DD584">
        <v>1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"12/16/2021 14:45:07.896"</f>
        <v>12/16/2021 14:45:07.896</v>
      </c>
      <c r="C585" t="str">
        <f t="shared" si="25"/>
        <v>FFDFD3C0</v>
      </c>
      <c r="D585" t="s">
        <v>133</v>
      </c>
      <c r="E585">
        <v>44</v>
      </c>
      <c r="H585">
        <v>131</v>
      </c>
      <c r="I585" t="s">
        <v>134</v>
      </c>
      <c r="J585" t="s">
        <v>135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"14:45:07.672"</f>
        <v>14:45:07.672</v>
      </c>
      <c r="T585" t="str">
        <f>"14:45:07.172"</f>
        <v>14:45:07.172</v>
      </c>
      <c r="U585" t="str">
        <f t="shared" si="27"/>
        <v>A0F928</v>
      </c>
      <c r="V585">
        <v>0</v>
      </c>
      <c r="W585">
        <v>0</v>
      </c>
      <c r="X585">
        <v>2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1</v>
      </c>
      <c r="AI585" t="s">
        <v>411</v>
      </c>
      <c r="AJ585">
        <v>35.812961999999999</v>
      </c>
      <c r="AK585" t="s">
        <v>412</v>
      </c>
      <c r="AL585">
        <v>-83.938464999999994</v>
      </c>
      <c r="AM585">
        <v>25</v>
      </c>
      <c r="AN585">
        <v>1625</v>
      </c>
      <c r="AO585" t="s">
        <v>118</v>
      </c>
      <c r="AP585">
        <v>87</v>
      </c>
      <c r="AQ585">
        <v>-45</v>
      </c>
      <c r="AR585">
        <v>64</v>
      </c>
      <c r="AZ585">
        <v>300</v>
      </c>
      <c r="BA585">
        <v>1</v>
      </c>
      <c r="BB585" t="str">
        <f t="shared" si="26"/>
        <v xml:space="preserve">N162AM  </v>
      </c>
      <c r="BC585">
        <v>1</v>
      </c>
      <c r="BE585">
        <v>0</v>
      </c>
      <c r="BF585">
        <v>0</v>
      </c>
      <c r="BG585">
        <v>0</v>
      </c>
      <c r="BH585">
        <v>1875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>"14:45:07.674"</f>
        <v>14:45:07.674</v>
      </c>
      <c r="CJ585">
        <v>3</v>
      </c>
      <c r="CK585">
        <v>2</v>
      </c>
      <c r="CL585">
        <v>0</v>
      </c>
      <c r="CM585">
        <v>2</v>
      </c>
      <c r="CN585">
        <v>0</v>
      </c>
      <c r="CO585">
        <v>6</v>
      </c>
      <c r="CP585" t="s">
        <v>119</v>
      </c>
      <c r="CQ585">
        <v>232</v>
      </c>
      <c r="CR585">
        <v>1</v>
      </c>
      <c r="CW585">
        <v>15053070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1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"12/16/2021 14:45:09.021"</f>
        <v>12/16/2021 14:45:09.021</v>
      </c>
      <c r="C586" t="str">
        <f t="shared" si="25"/>
        <v>FFDFD3C0</v>
      </c>
      <c r="D586" t="s">
        <v>133</v>
      </c>
      <c r="E586">
        <v>44</v>
      </c>
      <c r="H586">
        <v>131</v>
      </c>
      <c r="I586" t="s">
        <v>134</v>
      </c>
      <c r="J586" t="s">
        <v>135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"14:45:08.773"</f>
        <v>14:45:08.773</v>
      </c>
      <c r="T586" t="str">
        <f>"14:45:08.273"</f>
        <v>14:45:08.273</v>
      </c>
      <c r="U586" t="str">
        <f t="shared" si="27"/>
        <v>A0F928</v>
      </c>
      <c r="V586">
        <v>0</v>
      </c>
      <c r="W586">
        <v>0</v>
      </c>
      <c r="X586">
        <v>2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1</v>
      </c>
      <c r="AI586" t="s">
        <v>413</v>
      </c>
      <c r="AJ586">
        <v>35.812725999999998</v>
      </c>
      <c r="AK586" t="s">
        <v>414</v>
      </c>
      <c r="AL586">
        <v>-83.938014999999993</v>
      </c>
      <c r="AM586">
        <v>25</v>
      </c>
      <c r="AN586">
        <v>1625</v>
      </c>
      <c r="AO586" t="s">
        <v>118</v>
      </c>
      <c r="AP586">
        <v>83</v>
      </c>
      <c r="AQ586">
        <v>-50</v>
      </c>
      <c r="AR586">
        <v>64</v>
      </c>
      <c r="AZ586">
        <v>300</v>
      </c>
      <c r="BA586">
        <v>1</v>
      </c>
      <c r="BB586" t="str">
        <f t="shared" si="26"/>
        <v xml:space="preserve">N162AM  </v>
      </c>
      <c r="BC586">
        <v>1</v>
      </c>
      <c r="BE586">
        <v>0</v>
      </c>
      <c r="BF586">
        <v>0</v>
      </c>
      <c r="BG586">
        <v>0</v>
      </c>
      <c r="BH586">
        <v>1875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>"14:45:08.775"</f>
        <v>14:45:08.775</v>
      </c>
      <c r="CJ586">
        <v>3</v>
      </c>
      <c r="CK586">
        <v>2</v>
      </c>
      <c r="CL586">
        <v>0</v>
      </c>
      <c r="CM586">
        <v>2</v>
      </c>
      <c r="CN586">
        <v>0</v>
      </c>
      <c r="CO586">
        <v>6</v>
      </c>
      <c r="CP586" t="s">
        <v>119</v>
      </c>
      <c r="CQ586">
        <v>232</v>
      </c>
      <c r="CR586">
        <v>1</v>
      </c>
      <c r="CW586">
        <v>15054806</v>
      </c>
      <c r="CY586">
        <v>1</v>
      </c>
      <c r="CZ586">
        <v>0</v>
      </c>
      <c r="DA586">
        <v>0</v>
      </c>
      <c r="DB586">
        <v>0</v>
      </c>
      <c r="DC586">
        <v>0</v>
      </c>
      <c r="DD586">
        <v>1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"12/16/2021 14:45:09.021"</f>
        <v>12/16/2021 14:45:09.021</v>
      </c>
      <c r="C587" t="str">
        <f t="shared" si="25"/>
        <v>FFDFD3C0</v>
      </c>
      <c r="D587" t="s">
        <v>113</v>
      </c>
      <c r="E587">
        <v>8</v>
      </c>
      <c r="H587">
        <v>176</v>
      </c>
      <c r="I587" t="s">
        <v>114</v>
      </c>
      <c r="J587" t="s">
        <v>115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"14:45:08.773"</f>
        <v>14:45:08.773</v>
      </c>
      <c r="T587" t="str">
        <f>"14:45:08.273"</f>
        <v>14:45:08.273</v>
      </c>
      <c r="U587" t="str">
        <f t="shared" si="27"/>
        <v>A0F928</v>
      </c>
      <c r="V587">
        <v>0</v>
      </c>
      <c r="W587">
        <v>0</v>
      </c>
      <c r="X587">
        <v>2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1</v>
      </c>
      <c r="AI587" t="s">
        <v>413</v>
      </c>
      <c r="AJ587">
        <v>35.812725999999998</v>
      </c>
      <c r="AK587" t="s">
        <v>414</v>
      </c>
      <c r="AL587">
        <v>-83.938014999999993</v>
      </c>
      <c r="AM587">
        <v>25</v>
      </c>
      <c r="AN587">
        <v>1625</v>
      </c>
      <c r="AO587" t="s">
        <v>118</v>
      </c>
      <c r="AP587">
        <v>83</v>
      </c>
      <c r="AQ587">
        <v>-50</v>
      </c>
      <c r="AR587">
        <v>64</v>
      </c>
      <c r="AZ587">
        <v>300</v>
      </c>
      <c r="BA587">
        <v>1</v>
      </c>
      <c r="BB587" t="str">
        <f t="shared" si="26"/>
        <v xml:space="preserve">N162AM  </v>
      </c>
      <c r="BC587">
        <v>1</v>
      </c>
      <c r="BE587">
        <v>0</v>
      </c>
      <c r="BF587">
        <v>0</v>
      </c>
      <c r="BG587">
        <v>0</v>
      </c>
      <c r="BH587">
        <v>1875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>"14:45:08.775"</f>
        <v>14:45:08.775</v>
      </c>
      <c r="CJ587">
        <v>3</v>
      </c>
      <c r="CK587">
        <v>2</v>
      </c>
      <c r="CL587">
        <v>0</v>
      </c>
      <c r="CM587">
        <v>2</v>
      </c>
      <c r="CN587">
        <v>0</v>
      </c>
      <c r="CO587">
        <v>6</v>
      </c>
      <c r="CP587" t="s">
        <v>119</v>
      </c>
      <c r="CQ587">
        <v>232</v>
      </c>
      <c r="CR587">
        <v>1</v>
      </c>
      <c r="CW587">
        <v>15054806</v>
      </c>
      <c r="CY587">
        <v>1</v>
      </c>
      <c r="CZ587">
        <v>0</v>
      </c>
      <c r="DA587">
        <v>1</v>
      </c>
      <c r="DB587">
        <v>0</v>
      </c>
      <c r="DC587">
        <v>0</v>
      </c>
      <c r="DD587">
        <v>1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"12/16/2021 14:45:09.021"</f>
        <v>12/16/2021 14:45:09.021</v>
      </c>
      <c r="C588" t="str">
        <f t="shared" ref="C588:C651" si="28">"FFDFD3C0"</f>
        <v>FFDFD3C0</v>
      </c>
      <c r="D588" t="s">
        <v>124</v>
      </c>
      <c r="E588">
        <v>5</v>
      </c>
      <c r="F588">
        <v>1005</v>
      </c>
      <c r="G588" t="s">
        <v>114</v>
      </c>
      <c r="J588" t="s">
        <v>125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"14:45:08.773"</f>
        <v>14:45:08.773</v>
      </c>
      <c r="T588" t="str">
        <f>"14:45:08.273"</f>
        <v>14:45:08.273</v>
      </c>
      <c r="U588" t="str">
        <f t="shared" si="27"/>
        <v>A0F928</v>
      </c>
      <c r="V588">
        <v>0</v>
      </c>
      <c r="W588">
        <v>0</v>
      </c>
      <c r="X588">
        <v>2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1</v>
      </c>
      <c r="AI588" t="s">
        <v>413</v>
      </c>
      <c r="AJ588">
        <v>35.812725999999998</v>
      </c>
      <c r="AK588" t="s">
        <v>414</v>
      </c>
      <c r="AL588">
        <v>-83.938014999999993</v>
      </c>
      <c r="AM588">
        <v>25</v>
      </c>
      <c r="AN588">
        <v>1625</v>
      </c>
      <c r="AO588" t="s">
        <v>118</v>
      </c>
      <c r="AP588">
        <v>83</v>
      </c>
      <c r="AQ588">
        <v>-50</v>
      </c>
      <c r="AR588">
        <v>64</v>
      </c>
      <c r="AZ588">
        <v>300</v>
      </c>
      <c r="BA588">
        <v>1</v>
      </c>
      <c r="BB588" t="str">
        <f t="shared" ref="BB588:BB651" si="29">"N162AM  "</f>
        <v xml:space="preserve">N162AM  </v>
      </c>
      <c r="BC588">
        <v>1</v>
      </c>
      <c r="BE588">
        <v>0</v>
      </c>
      <c r="BF588">
        <v>0</v>
      </c>
      <c r="BG588">
        <v>0</v>
      </c>
      <c r="BH588">
        <v>1875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>"14:45:08.775"</f>
        <v>14:45:08.775</v>
      </c>
      <c r="CJ588">
        <v>3</v>
      </c>
      <c r="CK588">
        <v>2</v>
      </c>
      <c r="CL588">
        <v>0</v>
      </c>
      <c r="CM588">
        <v>2</v>
      </c>
      <c r="CN588">
        <v>0</v>
      </c>
      <c r="CO588">
        <v>6</v>
      </c>
      <c r="CP588" t="s">
        <v>119</v>
      </c>
      <c r="CQ588">
        <v>232</v>
      </c>
      <c r="CR588">
        <v>1</v>
      </c>
      <c r="CW588">
        <v>15054806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1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"12/16/2021 14:45:09.116"</f>
        <v>12/16/2021 14:45:09.116</v>
      </c>
      <c r="C589" t="str">
        <f t="shared" si="28"/>
        <v>FFDFD3C0</v>
      </c>
      <c r="D589" t="s">
        <v>124</v>
      </c>
      <c r="E589">
        <v>10</v>
      </c>
      <c r="F589">
        <v>1010</v>
      </c>
      <c r="G589" t="s">
        <v>130</v>
      </c>
      <c r="J589" t="s">
        <v>125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"14:45:08.773"</f>
        <v>14:45:08.773</v>
      </c>
      <c r="T589" t="str">
        <f>"14:45:08.273"</f>
        <v>14:45:08.273</v>
      </c>
      <c r="U589" t="str">
        <f t="shared" si="27"/>
        <v>A0F928</v>
      </c>
      <c r="V589">
        <v>0</v>
      </c>
      <c r="W589">
        <v>0</v>
      </c>
      <c r="X589">
        <v>2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0</v>
      </c>
      <c r="AG589">
        <v>2</v>
      </c>
      <c r="AH589">
        <v>1</v>
      </c>
      <c r="AI589" t="s">
        <v>413</v>
      </c>
      <c r="AJ589">
        <v>35.812725999999998</v>
      </c>
      <c r="AK589" t="s">
        <v>414</v>
      </c>
      <c r="AL589">
        <v>-83.938014999999993</v>
      </c>
      <c r="AM589">
        <v>25</v>
      </c>
      <c r="AN589">
        <v>1625</v>
      </c>
      <c r="AO589" t="s">
        <v>118</v>
      </c>
      <c r="AP589">
        <v>83</v>
      </c>
      <c r="AQ589">
        <v>-50</v>
      </c>
      <c r="AR589">
        <v>64</v>
      </c>
      <c r="AZ589">
        <v>300</v>
      </c>
      <c r="BA589">
        <v>1</v>
      </c>
      <c r="BB589" t="str">
        <f t="shared" si="29"/>
        <v xml:space="preserve">N162AM  </v>
      </c>
      <c r="BC589">
        <v>1</v>
      </c>
      <c r="BE589">
        <v>0</v>
      </c>
      <c r="BF589">
        <v>0</v>
      </c>
      <c r="BG589">
        <v>0</v>
      </c>
      <c r="BH589">
        <v>1875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>"14:45:08.775"</f>
        <v>14:45:08.775</v>
      </c>
      <c r="CJ589">
        <v>2</v>
      </c>
      <c r="CK589">
        <v>2</v>
      </c>
      <c r="CL589">
        <v>0</v>
      </c>
      <c r="CM589">
        <v>2</v>
      </c>
      <c r="CN589">
        <v>0</v>
      </c>
      <c r="CO589">
        <v>6</v>
      </c>
      <c r="CP589" t="s">
        <v>119</v>
      </c>
      <c r="CQ589">
        <v>232</v>
      </c>
      <c r="CR589">
        <v>1</v>
      </c>
      <c r="CW589">
        <v>15054806</v>
      </c>
      <c r="CY589">
        <v>1</v>
      </c>
      <c r="CZ589">
        <v>0</v>
      </c>
      <c r="DA589">
        <v>1</v>
      </c>
      <c r="DB589">
        <v>0</v>
      </c>
      <c r="DC589">
        <v>0</v>
      </c>
      <c r="DD589">
        <v>1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"12/16/2021 14:45:10.005"</f>
        <v>12/16/2021 14:45:10.005</v>
      </c>
      <c r="C590" t="str">
        <f t="shared" si="28"/>
        <v>FFDFD3C0</v>
      </c>
      <c r="D590" t="s">
        <v>133</v>
      </c>
      <c r="E590">
        <v>44</v>
      </c>
      <c r="H590">
        <v>131</v>
      </c>
      <c r="I590" t="s">
        <v>134</v>
      </c>
      <c r="J590" t="s">
        <v>135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"14:45:09.797"</f>
        <v>14:45:09.797</v>
      </c>
      <c r="T590" t="str">
        <f>"14:45:09.297"</f>
        <v>14:45:09.297</v>
      </c>
      <c r="U590" t="str">
        <f t="shared" si="27"/>
        <v>A0F928</v>
      </c>
      <c r="V590">
        <v>0</v>
      </c>
      <c r="W590">
        <v>0</v>
      </c>
      <c r="X590">
        <v>2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1</v>
      </c>
      <c r="AI590" t="s">
        <v>415</v>
      </c>
      <c r="AJ590">
        <v>35.812446999999999</v>
      </c>
      <c r="AK590" t="s">
        <v>416</v>
      </c>
      <c r="AL590">
        <v>-83.937541999999993</v>
      </c>
      <c r="AM590">
        <v>25</v>
      </c>
      <c r="AN590">
        <v>1625</v>
      </c>
      <c r="AO590" t="s">
        <v>118</v>
      </c>
      <c r="AP590">
        <v>78</v>
      </c>
      <c r="AQ590">
        <v>-56</v>
      </c>
      <c r="AR590">
        <v>64</v>
      </c>
      <c r="AZ590">
        <v>300</v>
      </c>
      <c r="BA590">
        <v>1</v>
      </c>
      <c r="BB590" t="str">
        <f t="shared" si="29"/>
        <v xml:space="preserve">N162AM  </v>
      </c>
      <c r="BC590">
        <v>1</v>
      </c>
      <c r="BE590">
        <v>0</v>
      </c>
      <c r="BF590">
        <v>0</v>
      </c>
      <c r="BG590">
        <v>0</v>
      </c>
      <c r="BH590">
        <v>1875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>"14:45:09.804"</f>
        <v>14:45:09.804</v>
      </c>
      <c r="CJ590">
        <v>3</v>
      </c>
      <c r="CK590">
        <v>2</v>
      </c>
      <c r="CL590">
        <v>0</v>
      </c>
      <c r="CM590">
        <v>2</v>
      </c>
      <c r="CN590">
        <v>0</v>
      </c>
      <c r="CO590">
        <v>6</v>
      </c>
      <c r="CP590" t="s">
        <v>119</v>
      </c>
      <c r="CQ590">
        <v>232</v>
      </c>
      <c r="CR590">
        <v>1</v>
      </c>
      <c r="CW590">
        <v>15056376</v>
      </c>
      <c r="CY590">
        <v>1</v>
      </c>
      <c r="CZ590">
        <v>0</v>
      </c>
      <c r="DA590">
        <v>0</v>
      </c>
      <c r="DB590">
        <v>0</v>
      </c>
      <c r="DC590">
        <v>0</v>
      </c>
      <c r="DD590">
        <v>1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"12/16/2021 14:45:10.021"</f>
        <v>12/16/2021 14:45:10.021</v>
      </c>
      <c r="C591" t="str">
        <f t="shared" si="28"/>
        <v>FFDFD3C0</v>
      </c>
      <c r="D591" t="s">
        <v>124</v>
      </c>
      <c r="E591">
        <v>5</v>
      </c>
      <c r="F591">
        <v>1005</v>
      </c>
      <c r="G591" t="s">
        <v>114</v>
      </c>
      <c r="J591" t="s">
        <v>125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"14:45:09.797"</f>
        <v>14:45:09.797</v>
      </c>
      <c r="T591" t="str">
        <f>"14:45:09.297"</f>
        <v>14:45:09.297</v>
      </c>
      <c r="U591" t="str">
        <f t="shared" si="27"/>
        <v>A0F928</v>
      </c>
      <c r="V591">
        <v>0</v>
      </c>
      <c r="W591">
        <v>0</v>
      </c>
      <c r="X591">
        <v>2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1</v>
      </c>
      <c r="AI591" t="s">
        <v>415</v>
      </c>
      <c r="AJ591">
        <v>35.812446999999999</v>
      </c>
      <c r="AK591" t="s">
        <v>416</v>
      </c>
      <c r="AL591">
        <v>-83.937541999999993</v>
      </c>
      <c r="AM591">
        <v>25</v>
      </c>
      <c r="AN591">
        <v>1625</v>
      </c>
      <c r="AO591" t="s">
        <v>118</v>
      </c>
      <c r="AP591">
        <v>78</v>
      </c>
      <c r="AQ591">
        <v>-56</v>
      </c>
      <c r="AR591">
        <v>64</v>
      </c>
      <c r="AZ591">
        <v>300</v>
      </c>
      <c r="BA591">
        <v>1</v>
      </c>
      <c r="BB591" t="str">
        <f t="shared" si="29"/>
        <v xml:space="preserve">N162AM  </v>
      </c>
      <c r="BC591">
        <v>1</v>
      </c>
      <c r="BE591">
        <v>0</v>
      </c>
      <c r="BF591">
        <v>0</v>
      </c>
      <c r="BG591">
        <v>0</v>
      </c>
      <c r="BH591">
        <v>1875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>"14:45:09.804"</f>
        <v>14:45:09.804</v>
      </c>
      <c r="CJ591">
        <v>3</v>
      </c>
      <c r="CK591">
        <v>2</v>
      </c>
      <c r="CL591">
        <v>0</v>
      </c>
      <c r="CM591">
        <v>2</v>
      </c>
      <c r="CN591">
        <v>0</v>
      </c>
      <c r="CO591">
        <v>6</v>
      </c>
      <c r="CP591" t="s">
        <v>119</v>
      </c>
      <c r="CQ591">
        <v>232</v>
      </c>
      <c r="CR591">
        <v>1</v>
      </c>
      <c r="CW591">
        <v>15056376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1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"12/16/2021 14:45:10.021"</f>
        <v>12/16/2021 14:45:10.021</v>
      </c>
      <c r="C592" t="str">
        <f t="shared" si="28"/>
        <v>FFDFD3C0</v>
      </c>
      <c r="D592" t="s">
        <v>113</v>
      </c>
      <c r="E592">
        <v>8</v>
      </c>
      <c r="H592">
        <v>176</v>
      </c>
      <c r="I592" t="s">
        <v>114</v>
      </c>
      <c r="J592" t="s">
        <v>115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"14:45:09.797"</f>
        <v>14:45:09.797</v>
      </c>
      <c r="T592" t="str">
        <f>"14:45:09.297"</f>
        <v>14:45:09.297</v>
      </c>
      <c r="U592" t="str">
        <f t="shared" si="27"/>
        <v>A0F928</v>
      </c>
      <c r="V592">
        <v>0</v>
      </c>
      <c r="W592">
        <v>0</v>
      </c>
      <c r="X592">
        <v>2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1</v>
      </c>
      <c r="AI592" t="s">
        <v>415</v>
      </c>
      <c r="AJ592">
        <v>35.812446999999999</v>
      </c>
      <c r="AK592" t="s">
        <v>416</v>
      </c>
      <c r="AL592">
        <v>-83.937541999999993</v>
      </c>
      <c r="AM592">
        <v>25</v>
      </c>
      <c r="AN592">
        <v>1625</v>
      </c>
      <c r="AO592" t="s">
        <v>118</v>
      </c>
      <c r="AP592">
        <v>78</v>
      </c>
      <c r="AQ592">
        <v>-56</v>
      </c>
      <c r="AR592">
        <v>64</v>
      </c>
      <c r="AZ592">
        <v>300</v>
      </c>
      <c r="BA592">
        <v>1</v>
      </c>
      <c r="BB592" t="str">
        <f t="shared" si="29"/>
        <v xml:space="preserve">N162AM  </v>
      </c>
      <c r="BC592">
        <v>1</v>
      </c>
      <c r="BE592">
        <v>0</v>
      </c>
      <c r="BF592">
        <v>0</v>
      </c>
      <c r="BG592">
        <v>0</v>
      </c>
      <c r="BH592">
        <v>1875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>"14:45:09.804"</f>
        <v>14:45:09.804</v>
      </c>
      <c r="CJ592">
        <v>3</v>
      </c>
      <c r="CK592">
        <v>2</v>
      </c>
      <c r="CL592">
        <v>0</v>
      </c>
      <c r="CM592">
        <v>2</v>
      </c>
      <c r="CN592">
        <v>0</v>
      </c>
      <c r="CO592">
        <v>6</v>
      </c>
      <c r="CP592" t="s">
        <v>119</v>
      </c>
      <c r="CQ592">
        <v>232</v>
      </c>
      <c r="CR592">
        <v>1</v>
      </c>
      <c r="CW592">
        <v>15056376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1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"12/16/2021 14:45:10.052"</f>
        <v>12/16/2021 14:45:10.052</v>
      </c>
      <c r="C593" t="str">
        <f t="shared" si="28"/>
        <v>FFDFD3C0</v>
      </c>
      <c r="D593" t="s">
        <v>124</v>
      </c>
      <c r="E593">
        <v>10</v>
      </c>
      <c r="F593">
        <v>1010</v>
      </c>
      <c r="G593" t="s">
        <v>130</v>
      </c>
      <c r="J593" t="s">
        <v>125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"14:45:09.797"</f>
        <v>14:45:09.797</v>
      </c>
      <c r="T593" t="str">
        <f>"14:45:09.297"</f>
        <v>14:45:09.297</v>
      </c>
      <c r="U593" t="str">
        <f t="shared" si="27"/>
        <v>A0F928</v>
      </c>
      <c r="V593">
        <v>0</v>
      </c>
      <c r="W593">
        <v>0</v>
      </c>
      <c r="X593">
        <v>2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0</v>
      </c>
      <c r="AG593">
        <v>2</v>
      </c>
      <c r="AH593">
        <v>1</v>
      </c>
      <c r="AI593" t="s">
        <v>415</v>
      </c>
      <c r="AJ593">
        <v>35.812446999999999</v>
      </c>
      <c r="AK593" t="s">
        <v>416</v>
      </c>
      <c r="AL593">
        <v>-83.937541999999993</v>
      </c>
      <c r="AM593">
        <v>25</v>
      </c>
      <c r="AN593">
        <v>1625</v>
      </c>
      <c r="AO593" t="s">
        <v>118</v>
      </c>
      <c r="AP593">
        <v>78</v>
      </c>
      <c r="AQ593">
        <v>-56</v>
      </c>
      <c r="AR593">
        <v>64</v>
      </c>
      <c r="AZ593">
        <v>300</v>
      </c>
      <c r="BA593">
        <v>1</v>
      </c>
      <c r="BB593" t="str">
        <f t="shared" si="29"/>
        <v xml:space="preserve">N162AM  </v>
      </c>
      <c r="BC593">
        <v>1</v>
      </c>
      <c r="BE593">
        <v>0</v>
      </c>
      <c r="BF593">
        <v>0</v>
      </c>
      <c r="BG593">
        <v>0</v>
      </c>
      <c r="BH593">
        <v>1875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>"14:45:09.804"</f>
        <v>14:45:09.804</v>
      </c>
      <c r="CJ593">
        <v>2</v>
      </c>
      <c r="CK593">
        <v>2</v>
      </c>
      <c r="CL593">
        <v>0</v>
      </c>
      <c r="CM593">
        <v>2</v>
      </c>
      <c r="CN593">
        <v>0</v>
      </c>
      <c r="CO593">
        <v>6</v>
      </c>
      <c r="CP593" t="s">
        <v>119</v>
      </c>
      <c r="CQ593">
        <v>232</v>
      </c>
      <c r="CR593">
        <v>1</v>
      </c>
      <c r="CW593">
        <v>15056376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1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"12/16/2021 14:45:11.021"</f>
        <v>12/16/2021 14:45:11.021</v>
      </c>
      <c r="C594" t="str">
        <f t="shared" si="28"/>
        <v>FFDFD3C0</v>
      </c>
      <c r="D594" t="s">
        <v>124</v>
      </c>
      <c r="E594">
        <v>10</v>
      </c>
      <c r="F594">
        <v>1010</v>
      </c>
      <c r="G594" t="s">
        <v>130</v>
      </c>
      <c r="J594" t="s">
        <v>125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"14:45:10.820"</f>
        <v>14:45:10.820</v>
      </c>
      <c r="T594" t="str">
        <f>"14:45:09.820"</f>
        <v>14:45:09.820</v>
      </c>
      <c r="U594" t="str">
        <f t="shared" si="27"/>
        <v>A0F928</v>
      </c>
      <c r="V594">
        <v>0</v>
      </c>
      <c r="W594">
        <v>0</v>
      </c>
      <c r="X594">
        <v>2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0</v>
      </c>
      <c r="AG594">
        <v>2</v>
      </c>
      <c r="AH594">
        <v>1</v>
      </c>
      <c r="AI594" t="s">
        <v>417</v>
      </c>
      <c r="AJ594">
        <v>35.812190000000001</v>
      </c>
      <c r="AK594" t="s">
        <v>418</v>
      </c>
      <c r="AL594">
        <v>-83.937156000000002</v>
      </c>
      <c r="AM594">
        <v>25</v>
      </c>
      <c r="AN594">
        <v>1625</v>
      </c>
      <c r="AO594" t="s">
        <v>118</v>
      </c>
      <c r="AP594">
        <v>76</v>
      </c>
      <c r="AQ594">
        <v>-57</v>
      </c>
      <c r="AR594">
        <v>64</v>
      </c>
      <c r="AZ594">
        <v>300</v>
      </c>
      <c r="BA594">
        <v>1</v>
      </c>
      <c r="BB594" t="str">
        <f t="shared" si="29"/>
        <v xml:space="preserve">N162AM  </v>
      </c>
      <c r="BC594">
        <v>1</v>
      </c>
      <c r="BE594">
        <v>0</v>
      </c>
      <c r="BF594">
        <v>0</v>
      </c>
      <c r="BG594">
        <v>0</v>
      </c>
      <c r="BH594">
        <v>1875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>"14:45:10.823"</f>
        <v>14:45:10.823</v>
      </c>
      <c r="CJ594">
        <v>2</v>
      </c>
      <c r="CK594">
        <v>2</v>
      </c>
      <c r="CL594">
        <v>0</v>
      </c>
      <c r="CM594">
        <v>2</v>
      </c>
      <c r="CN594">
        <v>0</v>
      </c>
      <c r="CO594">
        <v>5</v>
      </c>
      <c r="CP594" t="s">
        <v>119</v>
      </c>
      <c r="CQ594">
        <v>232</v>
      </c>
      <c r="CR594">
        <v>1</v>
      </c>
      <c r="CW594">
        <v>15058021</v>
      </c>
      <c r="CY594">
        <v>1</v>
      </c>
      <c r="CZ594">
        <v>0</v>
      </c>
      <c r="DA594">
        <v>0</v>
      </c>
      <c r="DB594">
        <v>0</v>
      </c>
      <c r="DC594">
        <v>0</v>
      </c>
      <c r="DD594">
        <v>1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"12/16/2021 14:45:11.021"</f>
        <v>12/16/2021 14:45:11.021</v>
      </c>
      <c r="C595" t="str">
        <f t="shared" si="28"/>
        <v>FFDFD3C0</v>
      </c>
      <c r="D595" t="s">
        <v>133</v>
      </c>
      <c r="E595">
        <v>44</v>
      </c>
      <c r="H595">
        <v>131</v>
      </c>
      <c r="I595" t="s">
        <v>134</v>
      </c>
      <c r="J595" t="s">
        <v>135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"14:45:10.820"</f>
        <v>14:45:10.820</v>
      </c>
      <c r="T595" t="str">
        <f>"14:45:09.820"</f>
        <v>14:45:09.820</v>
      </c>
      <c r="U595" t="str">
        <f t="shared" si="27"/>
        <v>A0F928</v>
      </c>
      <c r="V595">
        <v>0</v>
      </c>
      <c r="W595">
        <v>0</v>
      </c>
      <c r="X595">
        <v>2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1</v>
      </c>
      <c r="AI595" t="s">
        <v>417</v>
      </c>
      <c r="AJ595">
        <v>35.812190000000001</v>
      </c>
      <c r="AK595" t="s">
        <v>418</v>
      </c>
      <c r="AL595">
        <v>-83.937156000000002</v>
      </c>
      <c r="AM595">
        <v>25</v>
      </c>
      <c r="AN595">
        <v>1625</v>
      </c>
      <c r="AO595" t="s">
        <v>118</v>
      </c>
      <c r="AP595">
        <v>76</v>
      </c>
      <c r="AQ595">
        <v>-57</v>
      </c>
      <c r="AR595">
        <v>64</v>
      </c>
      <c r="AZ595">
        <v>300</v>
      </c>
      <c r="BA595">
        <v>1</v>
      </c>
      <c r="BB595" t="str">
        <f t="shared" si="29"/>
        <v xml:space="preserve">N162AM  </v>
      </c>
      <c r="BC595">
        <v>1</v>
      </c>
      <c r="BE595">
        <v>0</v>
      </c>
      <c r="BF595">
        <v>0</v>
      </c>
      <c r="BG595">
        <v>0</v>
      </c>
      <c r="BH595">
        <v>1875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>"14:45:10.823"</f>
        <v>14:45:10.823</v>
      </c>
      <c r="CJ595">
        <v>3</v>
      </c>
      <c r="CK595">
        <v>2</v>
      </c>
      <c r="CL595">
        <v>0</v>
      </c>
      <c r="CM595">
        <v>2</v>
      </c>
      <c r="CN595">
        <v>0</v>
      </c>
      <c r="CO595">
        <v>5</v>
      </c>
      <c r="CP595" t="s">
        <v>119</v>
      </c>
      <c r="CQ595">
        <v>232</v>
      </c>
      <c r="CR595">
        <v>1</v>
      </c>
      <c r="CW595">
        <v>15058021</v>
      </c>
      <c r="CY595">
        <v>1</v>
      </c>
      <c r="CZ595">
        <v>0</v>
      </c>
      <c r="DA595">
        <v>1</v>
      </c>
      <c r="DB595">
        <v>0</v>
      </c>
      <c r="DC595">
        <v>0</v>
      </c>
      <c r="DD595">
        <v>1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"12/16/2021 14:45:11.036"</f>
        <v>12/16/2021 14:45:11.036</v>
      </c>
      <c r="C596" t="str">
        <f t="shared" si="28"/>
        <v>FFDFD3C0</v>
      </c>
      <c r="D596" t="s">
        <v>113</v>
      </c>
      <c r="E596">
        <v>8</v>
      </c>
      <c r="H596">
        <v>176</v>
      </c>
      <c r="I596" t="s">
        <v>114</v>
      </c>
      <c r="J596" t="s">
        <v>115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"14:45:10.820"</f>
        <v>14:45:10.820</v>
      </c>
      <c r="T596" t="str">
        <f>"14:45:09.820"</f>
        <v>14:45:09.820</v>
      </c>
      <c r="U596" t="str">
        <f t="shared" si="27"/>
        <v>A0F928</v>
      </c>
      <c r="V596">
        <v>0</v>
      </c>
      <c r="W596">
        <v>0</v>
      </c>
      <c r="X596">
        <v>2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1</v>
      </c>
      <c r="AI596" t="s">
        <v>417</v>
      </c>
      <c r="AJ596">
        <v>35.812190000000001</v>
      </c>
      <c r="AK596" t="s">
        <v>418</v>
      </c>
      <c r="AL596">
        <v>-83.937156000000002</v>
      </c>
      <c r="AM596">
        <v>25</v>
      </c>
      <c r="AN596">
        <v>1625</v>
      </c>
      <c r="AO596" t="s">
        <v>118</v>
      </c>
      <c r="AP596">
        <v>76</v>
      </c>
      <c r="AQ596">
        <v>-57</v>
      </c>
      <c r="AR596">
        <v>64</v>
      </c>
      <c r="AZ596">
        <v>300</v>
      </c>
      <c r="BA596">
        <v>1</v>
      </c>
      <c r="BB596" t="str">
        <f t="shared" si="29"/>
        <v xml:space="preserve">N162AM  </v>
      </c>
      <c r="BC596">
        <v>1</v>
      </c>
      <c r="BE596">
        <v>0</v>
      </c>
      <c r="BF596">
        <v>0</v>
      </c>
      <c r="BG596">
        <v>0</v>
      </c>
      <c r="BH596">
        <v>1875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>"14:45:10.823"</f>
        <v>14:45:10.823</v>
      </c>
      <c r="CJ596">
        <v>3</v>
      </c>
      <c r="CK596">
        <v>2</v>
      </c>
      <c r="CL596">
        <v>0</v>
      </c>
      <c r="CM596">
        <v>2</v>
      </c>
      <c r="CN596">
        <v>0</v>
      </c>
      <c r="CO596">
        <v>5</v>
      </c>
      <c r="CP596" t="s">
        <v>119</v>
      </c>
      <c r="CQ596">
        <v>232</v>
      </c>
      <c r="CR596">
        <v>1</v>
      </c>
      <c r="CW596">
        <v>15058021</v>
      </c>
      <c r="CY596">
        <v>1</v>
      </c>
      <c r="CZ596">
        <v>0</v>
      </c>
      <c r="DA596">
        <v>1</v>
      </c>
      <c r="DB596">
        <v>0</v>
      </c>
      <c r="DC596">
        <v>0</v>
      </c>
      <c r="DD596">
        <v>1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"12/16/2021 14:45:11.036"</f>
        <v>12/16/2021 14:45:11.036</v>
      </c>
      <c r="C597" t="str">
        <f t="shared" si="28"/>
        <v>FFDFD3C0</v>
      </c>
      <c r="D597" t="s">
        <v>124</v>
      </c>
      <c r="E597">
        <v>5</v>
      </c>
      <c r="F597">
        <v>1005</v>
      </c>
      <c r="G597" t="s">
        <v>114</v>
      </c>
      <c r="J597" t="s">
        <v>125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"14:45:10.820"</f>
        <v>14:45:10.820</v>
      </c>
      <c r="T597" t="str">
        <f>"14:45:09.820"</f>
        <v>14:45:09.820</v>
      </c>
      <c r="U597" t="str">
        <f t="shared" si="27"/>
        <v>A0F928</v>
      </c>
      <c r="V597">
        <v>0</v>
      </c>
      <c r="W597">
        <v>0</v>
      </c>
      <c r="X597">
        <v>2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1</v>
      </c>
      <c r="AI597" t="s">
        <v>417</v>
      </c>
      <c r="AJ597">
        <v>35.812190000000001</v>
      </c>
      <c r="AK597" t="s">
        <v>418</v>
      </c>
      <c r="AL597">
        <v>-83.937156000000002</v>
      </c>
      <c r="AM597">
        <v>25</v>
      </c>
      <c r="AN597">
        <v>1625</v>
      </c>
      <c r="AO597" t="s">
        <v>118</v>
      </c>
      <c r="AP597">
        <v>76</v>
      </c>
      <c r="AQ597">
        <v>-57</v>
      </c>
      <c r="AR597">
        <v>64</v>
      </c>
      <c r="AZ597">
        <v>300</v>
      </c>
      <c r="BA597">
        <v>1</v>
      </c>
      <c r="BB597" t="str">
        <f t="shared" si="29"/>
        <v xml:space="preserve">N162AM  </v>
      </c>
      <c r="BC597">
        <v>1</v>
      </c>
      <c r="BE597">
        <v>0</v>
      </c>
      <c r="BF597">
        <v>0</v>
      </c>
      <c r="BG597">
        <v>0</v>
      </c>
      <c r="BH597">
        <v>1875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>"14:45:10.823"</f>
        <v>14:45:10.823</v>
      </c>
      <c r="CJ597">
        <v>3</v>
      </c>
      <c r="CK597">
        <v>2</v>
      </c>
      <c r="CL597">
        <v>0</v>
      </c>
      <c r="CM597">
        <v>2</v>
      </c>
      <c r="CN597">
        <v>0</v>
      </c>
      <c r="CO597">
        <v>5</v>
      </c>
      <c r="CP597" t="s">
        <v>119</v>
      </c>
      <c r="CQ597">
        <v>232</v>
      </c>
      <c r="CR597">
        <v>1</v>
      </c>
      <c r="CW597">
        <v>15058021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1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"12/16/2021 14:45:12.099"</f>
        <v>12/16/2021 14:45:12.099</v>
      </c>
      <c r="C598" t="str">
        <f t="shared" si="28"/>
        <v>FFDFD3C0</v>
      </c>
      <c r="D598" t="s">
        <v>124</v>
      </c>
      <c r="E598">
        <v>5</v>
      </c>
      <c r="F598">
        <v>1005</v>
      </c>
      <c r="G598" t="s">
        <v>114</v>
      </c>
      <c r="J598" t="s">
        <v>125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"14:45:11.875"</f>
        <v>14:45:11.875</v>
      </c>
      <c r="T598" t="str">
        <f>"14:45:11.475"</f>
        <v>14:45:11.475</v>
      </c>
      <c r="U598" t="str">
        <f t="shared" si="27"/>
        <v>A0F928</v>
      </c>
      <c r="V598">
        <v>0</v>
      </c>
      <c r="W598">
        <v>0</v>
      </c>
      <c r="X598">
        <v>2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1</v>
      </c>
      <c r="AI598" t="s">
        <v>419</v>
      </c>
      <c r="AJ598">
        <v>35.811846000000003</v>
      </c>
      <c r="AK598" t="s">
        <v>420</v>
      </c>
      <c r="AL598">
        <v>-83.936706000000001</v>
      </c>
      <c r="AM598">
        <v>25</v>
      </c>
      <c r="AN598">
        <v>1625</v>
      </c>
      <c r="AO598" t="s">
        <v>118</v>
      </c>
      <c r="AP598">
        <v>68</v>
      </c>
      <c r="AQ598">
        <v>-65</v>
      </c>
      <c r="AR598">
        <v>64</v>
      </c>
      <c r="AZ598">
        <v>300</v>
      </c>
      <c r="BA598">
        <v>1</v>
      </c>
      <c r="BB598" t="str">
        <f t="shared" si="29"/>
        <v xml:space="preserve">N162AM  </v>
      </c>
      <c r="BC598">
        <v>1</v>
      </c>
      <c r="BE598">
        <v>0</v>
      </c>
      <c r="BF598">
        <v>0</v>
      </c>
      <c r="BG598">
        <v>0</v>
      </c>
      <c r="BH598">
        <v>1875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>"14:45:11.877"</f>
        <v>14:45:11.877</v>
      </c>
      <c r="CJ598">
        <v>3</v>
      </c>
      <c r="CK598">
        <v>2</v>
      </c>
      <c r="CL598">
        <v>0</v>
      </c>
      <c r="CM598">
        <v>2</v>
      </c>
      <c r="CN598">
        <v>0</v>
      </c>
      <c r="CO598">
        <v>6</v>
      </c>
      <c r="CP598" t="s">
        <v>119</v>
      </c>
      <c r="CQ598">
        <v>232</v>
      </c>
      <c r="CR598">
        <v>1</v>
      </c>
      <c r="CW598">
        <v>15059642</v>
      </c>
      <c r="CY598">
        <v>1</v>
      </c>
      <c r="CZ598">
        <v>0</v>
      </c>
      <c r="DA598">
        <v>0</v>
      </c>
      <c r="DB598">
        <v>0</v>
      </c>
      <c r="DC598">
        <v>0</v>
      </c>
      <c r="DD598">
        <v>1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"12/16/2021 14:45:12.099"</f>
        <v>12/16/2021 14:45:12.099</v>
      </c>
      <c r="C599" t="str">
        <f t="shared" si="28"/>
        <v>FFDFD3C0</v>
      </c>
      <c r="D599" t="s">
        <v>133</v>
      </c>
      <c r="E599">
        <v>44</v>
      </c>
      <c r="H599">
        <v>131</v>
      </c>
      <c r="I599" t="s">
        <v>134</v>
      </c>
      <c r="J599" t="s">
        <v>135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"14:45:11.875"</f>
        <v>14:45:11.875</v>
      </c>
      <c r="T599" t="str">
        <f>"14:45:11.475"</f>
        <v>14:45:11.475</v>
      </c>
      <c r="U599" t="str">
        <f t="shared" si="27"/>
        <v>A0F928</v>
      </c>
      <c r="V599">
        <v>0</v>
      </c>
      <c r="W599">
        <v>0</v>
      </c>
      <c r="X599">
        <v>2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1</v>
      </c>
      <c r="AI599" t="s">
        <v>419</v>
      </c>
      <c r="AJ599">
        <v>35.811846000000003</v>
      </c>
      <c r="AK599" t="s">
        <v>420</v>
      </c>
      <c r="AL599">
        <v>-83.936706000000001</v>
      </c>
      <c r="AM599">
        <v>25</v>
      </c>
      <c r="AN599">
        <v>1625</v>
      </c>
      <c r="AO599" t="s">
        <v>118</v>
      </c>
      <c r="AP599">
        <v>68</v>
      </c>
      <c r="AQ599">
        <v>-65</v>
      </c>
      <c r="AR599">
        <v>64</v>
      </c>
      <c r="AZ599">
        <v>300</v>
      </c>
      <c r="BA599">
        <v>1</v>
      </c>
      <c r="BB599" t="str">
        <f t="shared" si="29"/>
        <v xml:space="preserve">N162AM  </v>
      </c>
      <c r="BC599">
        <v>1</v>
      </c>
      <c r="BE599">
        <v>0</v>
      </c>
      <c r="BF599">
        <v>0</v>
      </c>
      <c r="BG599">
        <v>0</v>
      </c>
      <c r="BH599">
        <v>1875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>"14:45:11.877"</f>
        <v>14:45:11.877</v>
      </c>
      <c r="CJ599">
        <v>3</v>
      </c>
      <c r="CK599">
        <v>2</v>
      </c>
      <c r="CL599">
        <v>0</v>
      </c>
      <c r="CM599">
        <v>2</v>
      </c>
      <c r="CN599">
        <v>0</v>
      </c>
      <c r="CO599">
        <v>6</v>
      </c>
      <c r="CP599" t="s">
        <v>119</v>
      </c>
      <c r="CQ599">
        <v>232</v>
      </c>
      <c r="CR599">
        <v>1</v>
      </c>
      <c r="CW599">
        <v>15059642</v>
      </c>
      <c r="CY599">
        <v>1</v>
      </c>
      <c r="CZ599">
        <v>0</v>
      </c>
      <c r="DA599">
        <v>1</v>
      </c>
      <c r="DB599">
        <v>0</v>
      </c>
      <c r="DC599">
        <v>0</v>
      </c>
      <c r="DD599">
        <v>1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"12/16/2021 14:45:12.099"</f>
        <v>12/16/2021 14:45:12.099</v>
      </c>
      <c r="C600" t="str">
        <f t="shared" si="28"/>
        <v>FFDFD3C0</v>
      </c>
      <c r="D600" t="s">
        <v>113</v>
      </c>
      <c r="E600">
        <v>8</v>
      </c>
      <c r="H600">
        <v>176</v>
      </c>
      <c r="I600" t="s">
        <v>114</v>
      </c>
      <c r="J600" t="s">
        <v>115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"14:45:11.875"</f>
        <v>14:45:11.875</v>
      </c>
      <c r="T600" t="str">
        <f>"14:45:11.475"</f>
        <v>14:45:11.475</v>
      </c>
      <c r="U600" t="str">
        <f t="shared" si="27"/>
        <v>A0F928</v>
      </c>
      <c r="V600">
        <v>0</v>
      </c>
      <c r="W600">
        <v>0</v>
      </c>
      <c r="X600">
        <v>2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1</v>
      </c>
      <c r="AI600" t="s">
        <v>419</v>
      </c>
      <c r="AJ600">
        <v>35.811846000000003</v>
      </c>
      <c r="AK600" t="s">
        <v>420</v>
      </c>
      <c r="AL600">
        <v>-83.936706000000001</v>
      </c>
      <c r="AM600">
        <v>25</v>
      </c>
      <c r="AN600">
        <v>1625</v>
      </c>
      <c r="AO600" t="s">
        <v>118</v>
      </c>
      <c r="AP600">
        <v>68</v>
      </c>
      <c r="AQ600">
        <v>-65</v>
      </c>
      <c r="AR600">
        <v>64</v>
      </c>
      <c r="AZ600">
        <v>300</v>
      </c>
      <c r="BA600">
        <v>1</v>
      </c>
      <c r="BB600" t="str">
        <f t="shared" si="29"/>
        <v xml:space="preserve">N162AM  </v>
      </c>
      <c r="BC600">
        <v>1</v>
      </c>
      <c r="BE600">
        <v>0</v>
      </c>
      <c r="BF600">
        <v>0</v>
      </c>
      <c r="BG600">
        <v>0</v>
      </c>
      <c r="BH600">
        <v>1875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>"14:45:11.877"</f>
        <v>14:45:11.877</v>
      </c>
      <c r="CJ600">
        <v>3</v>
      </c>
      <c r="CK600">
        <v>2</v>
      </c>
      <c r="CL600">
        <v>0</v>
      </c>
      <c r="CM600">
        <v>2</v>
      </c>
      <c r="CN600">
        <v>0</v>
      </c>
      <c r="CO600">
        <v>6</v>
      </c>
      <c r="CP600" t="s">
        <v>119</v>
      </c>
      <c r="CQ600">
        <v>232</v>
      </c>
      <c r="CR600">
        <v>1</v>
      </c>
      <c r="CW600">
        <v>15059642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1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"12/16/2021 14:45:12.099"</f>
        <v>12/16/2021 14:45:12.099</v>
      </c>
      <c r="C601" t="str">
        <f t="shared" si="28"/>
        <v>FFDFD3C0</v>
      </c>
      <c r="D601" t="s">
        <v>124</v>
      </c>
      <c r="E601">
        <v>10</v>
      </c>
      <c r="F601">
        <v>1010</v>
      </c>
      <c r="G601" t="s">
        <v>130</v>
      </c>
      <c r="J601" t="s">
        <v>125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"14:45:11.875"</f>
        <v>14:45:11.875</v>
      </c>
      <c r="T601" t="str">
        <f>"14:45:11.475"</f>
        <v>14:45:11.475</v>
      </c>
      <c r="U601" t="str">
        <f t="shared" si="27"/>
        <v>A0F928</v>
      </c>
      <c r="V601">
        <v>0</v>
      </c>
      <c r="W601">
        <v>0</v>
      </c>
      <c r="X601">
        <v>2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0</v>
      </c>
      <c r="AG601">
        <v>2</v>
      </c>
      <c r="AH601">
        <v>1</v>
      </c>
      <c r="AI601" t="s">
        <v>419</v>
      </c>
      <c r="AJ601">
        <v>35.811846000000003</v>
      </c>
      <c r="AK601" t="s">
        <v>420</v>
      </c>
      <c r="AL601">
        <v>-83.936706000000001</v>
      </c>
      <c r="AM601">
        <v>25</v>
      </c>
      <c r="AN601">
        <v>1625</v>
      </c>
      <c r="AO601" t="s">
        <v>118</v>
      </c>
      <c r="AP601">
        <v>68</v>
      </c>
      <c r="AQ601">
        <v>-65</v>
      </c>
      <c r="AR601">
        <v>64</v>
      </c>
      <c r="AZ601">
        <v>300</v>
      </c>
      <c r="BA601">
        <v>1</v>
      </c>
      <c r="BB601" t="str">
        <f t="shared" si="29"/>
        <v xml:space="preserve">N162AM  </v>
      </c>
      <c r="BC601">
        <v>1</v>
      </c>
      <c r="BE601">
        <v>0</v>
      </c>
      <c r="BF601">
        <v>0</v>
      </c>
      <c r="BG601">
        <v>0</v>
      </c>
      <c r="BH601">
        <v>1875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>"14:45:11.877"</f>
        <v>14:45:11.877</v>
      </c>
      <c r="CJ601">
        <v>2</v>
      </c>
      <c r="CK601">
        <v>2</v>
      </c>
      <c r="CL601">
        <v>0</v>
      </c>
      <c r="CM601">
        <v>2</v>
      </c>
      <c r="CN601">
        <v>0</v>
      </c>
      <c r="CO601">
        <v>6</v>
      </c>
      <c r="CP601" t="s">
        <v>119</v>
      </c>
      <c r="CQ601">
        <v>232</v>
      </c>
      <c r="CR601">
        <v>1</v>
      </c>
      <c r="CW601">
        <v>15059642</v>
      </c>
      <c r="CY601">
        <v>1</v>
      </c>
      <c r="CZ601">
        <v>0</v>
      </c>
      <c r="DA601">
        <v>1</v>
      </c>
      <c r="DB601">
        <v>0</v>
      </c>
      <c r="DC601">
        <v>0</v>
      </c>
      <c r="DD601">
        <v>1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"12/16/2021 14:45:13.177"</f>
        <v>12/16/2021 14:45:13.177</v>
      </c>
      <c r="C602" t="str">
        <f t="shared" si="28"/>
        <v>FFDFD3C0</v>
      </c>
      <c r="D602" t="s">
        <v>124</v>
      </c>
      <c r="E602">
        <v>5</v>
      </c>
      <c r="F602">
        <v>1005</v>
      </c>
      <c r="G602" t="s">
        <v>114</v>
      </c>
      <c r="J602" t="s">
        <v>125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"14:45:12.797"</f>
        <v>14:45:12.797</v>
      </c>
      <c r="T602" t="str">
        <f>"14:45:12.397"</f>
        <v>14:45:12.397</v>
      </c>
      <c r="U602" t="str">
        <f t="shared" si="27"/>
        <v>A0F928</v>
      </c>
      <c r="V602">
        <v>0</v>
      </c>
      <c r="W602">
        <v>0</v>
      </c>
      <c r="X602">
        <v>2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1</v>
      </c>
      <c r="AI602" t="s">
        <v>421</v>
      </c>
      <c r="AJ602">
        <v>35.811546</v>
      </c>
      <c r="AK602" t="s">
        <v>422</v>
      </c>
      <c r="AL602">
        <v>-83.936404999999993</v>
      </c>
      <c r="AM602">
        <v>25</v>
      </c>
      <c r="AN602">
        <v>1625</v>
      </c>
      <c r="AO602" t="s">
        <v>118</v>
      </c>
      <c r="AP602">
        <v>63</v>
      </c>
      <c r="AQ602">
        <v>-68</v>
      </c>
      <c r="AR602">
        <v>64</v>
      </c>
      <c r="AZ602">
        <v>300</v>
      </c>
      <c r="BA602">
        <v>1</v>
      </c>
      <c r="BB602" t="str">
        <f t="shared" si="29"/>
        <v xml:space="preserve">N162AM  </v>
      </c>
      <c r="BC602">
        <v>1</v>
      </c>
      <c r="BE602">
        <v>0</v>
      </c>
      <c r="BF602">
        <v>0</v>
      </c>
      <c r="BG602">
        <v>0</v>
      </c>
      <c r="BH602">
        <v>1875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>"14:45:12.797"</f>
        <v>14:45:12.797</v>
      </c>
      <c r="CJ602">
        <v>3</v>
      </c>
      <c r="CK602">
        <v>2</v>
      </c>
      <c r="CL602">
        <v>0</v>
      </c>
      <c r="CM602">
        <v>2</v>
      </c>
      <c r="CN602">
        <v>0</v>
      </c>
      <c r="CO602">
        <v>6</v>
      </c>
      <c r="CP602" t="s">
        <v>119</v>
      </c>
      <c r="CQ602">
        <v>232</v>
      </c>
      <c r="CR602">
        <v>2</v>
      </c>
      <c r="CW602">
        <v>6256520</v>
      </c>
      <c r="CY602">
        <v>1</v>
      </c>
      <c r="CZ602">
        <v>0</v>
      </c>
      <c r="DA602">
        <v>0</v>
      </c>
      <c r="DB602">
        <v>0</v>
      </c>
      <c r="DC602">
        <v>0</v>
      </c>
      <c r="DD602">
        <v>1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"12/16/2021 14:45:13.177"</f>
        <v>12/16/2021 14:45:13.177</v>
      </c>
      <c r="C603" t="str">
        <f t="shared" si="28"/>
        <v>FFDFD3C0</v>
      </c>
      <c r="D603" t="s">
        <v>133</v>
      </c>
      <c r="E603">
        <v>44</v>
      </c>
      <c r="H603">
        <v>131</v>
      </c>
      <c r="I603" t="s">
        <v>134</v>
      </c>
      <c r="J603" t="s">
        <v>135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"14:45:12.797"</f>
        <v>14:45:12.797</v>
      </c>
      <c r="T603" t="str">
        <f>"14:45:12.397"</f>
        <v>14:45:12.397</v>
      </c>
      <c r="U603" t="str">
        <f t="shared" si="27"/>
        <v>A0F928</v>
      </c>
      <c r="V603">
        <v>0</v>
      </c>
      <c r="W603">
        <v>0</v>
      </c>
      <c r="X603">
        <v>2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1</v>
      </c>
      <c r="AI603" t="s">
        <v>421</v>
      </c>
      <c r="AJ603">
        <v>35.811546</v>
      </c>
      <c r="AK603" t="s">
        <v>422</v>
      </c>
      <c r="AL603">
        <v>-83.936404999999993</v>
      </c>
      <c r="AM603">
        <v>25</v>
      </c>
      <c r="AN603">
        <v>1625</v>
      </c>
      <c r="AO603" t="s">
        <v>118</v>
      </c>
      <c r="AP603">
        <v>63</v>
      </c>
      <c r="AQ603">
        <v>-68</v>
      </c>
      <c r="AR603">
        <v>64</v>
      </c>
      <c r="AZ603">
        <v>300</v>
      </c>
      <c r="BA603">
        <v>1</v>
      </c>
      <c r="BB603" t="str">
        <f t="shared" si="29"/>
        <v xml:space="preserve">N162AM  </v>
      </c>
      <c r="BC603">
        <v>1</v>
      </c>
      <c r="BE603">
        <v>0</v>
      </c>
      <c r="BF603">
        <v>0</v>
      </c>
      <c r="BG603">
        <v>0</v>
      </c>
      <c r="BH603">
        <v>1875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>"14:45:12.797"</f>
        <v>14:45:12.797</v>
      </c>
      <c r="CJ603">
        <v>3</v>
      </c>
      <c r="CK603">
        <v>2</v>
      </c>
      <c r="CL603">
        <v>0</v>
      </c>
      <c r="CM603">
        <v>2</v>
      </c>
      <c r="CN603">
        <v>0</v>
      </c>
      <c r="CO603">
        <v>6</v>
      </c>
      <c r="CP603" t="s">
        <v>119</v>
      </c>
      <c r="CQ603">
        <v>232</v>
      </c>
      <c r="CR603">
        <v>2</v>
      </c>
      <c r="CW603">
        <v>6256520</v>
      </c>
      <c r="CY603">
        <v>1</v>
      </c>
      <c r="CZ603">
        <v>0</v>
      </c>
      <c r="DA603">
        <v>1</v>
      </c>
      <c r="DB603">
        <v>0</v>
      </c>
      <c r="DC603">
        <v>0</v>
      </c>
      <c r="DD603">
        <v>1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"12/16/2021 14:45:13.177"</f>
        <v>12/16/2021 14:45:13.177</v>
      </c>
      <c r="C604" t="str">
        <f t="shared" si="28"/>
        <v>FFDFD3C0</v>
      </c>
      <c r="D604" t="s">
        <v>113</v>
      </c>
      <c r="E604">
        <v>8</v>
      </c>
      <c r="H604">
        <v>176</v>
      </c>
      <c r="I604" t="s">
        <v>114</v>
      </c>
      <c r="J604" t="s">
        <v>115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"14:45:12.797"</f>
        <v>14:45:12.797</v>
      </c>
      <c r="T604" t="str">
        <f>"14:45:12.397"</f>
        <v>14:45:12.397</v>
      </c>
      <c r="U604" t="str">
        <f t="shared" si="27"/>
        <v>A0F928</v>
      </c>
      <c r="V604">
        <v>0</v>
      </c>
      <c r="W604">
        <v>0</v>
      </c>
      <c r="X604">
        <v>2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1</v>
      </c>
      <c r="AI604" t="s">
        <v>421</v>
      </c>
      <c r="AJ604">
        <v>35.811546</v>
      </c>
      <c r="AK604" t="s">
        <v>422</v>
      </c>
      <c r="AL604">
        <v>-83.936404999999993</v>
      </c>
      <c r="AM604">
        <v>25</v>
      </c>
      <c r="AN604">
        <v>1625</v>
      </c>
      <c r="AO604" t="s">
        <v>118</v>
      </c>
      <c r="AP604">
        <v>63</v>
      </c>
      <c r="AQ604">
        <v>-68</v>
      </c>
      <c r="AR604">
        <v>64</v>
      </c>
      <c r="AZ604">
        <v>300</v>
      </c>
      <c r="BA604">
        <v>1</v>
      </c>
      <c r="BB604" t="str">
        <f t="shared" si="29"/>
        <v xml:space="preserve">N162AM  </v>
      </c>
      <c r="BC604">
        <v>1</v>
      </c>
      <c r="BE604">
        <v>0</v>
      </c>
      <c r="BF604">
        <v>0</v>
      </c>
      <c r="BG604">
        <v>0</v>
      </c>
      <c r="BH604">
        <v>1875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>"14:45:12.797"</f>
        <v>14:45:12.797</v>
      </c>
      <c r="CJ604">
        <v>3</v>
      </c>
      <c r="CK604">
        <v>2</v>
      </c>
      <c r="CL604">
        <v>0</v>
      </c>
      <c r="CM604">
        <v>2</v>
      </c>
      <c r="CN604">
        <v>0</v>
      </c>
      <c r="CO604">
        <v>6</v>
      </c>
      <c r="CP604" t="s">
        <v>119</v>
      </c>
      <c r="CQ604">
        <v>232</v>
      </c>
      <c r="CR604">
        <v>2</v>
      </c>
      <c r="CW604">
        <v>6256520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1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"12/16/2021 14:45:13.177"</f>
        <v>12/16/2021 14:45:13.177</v>
      </c>
      <c r="C605" t="str">
        <f t="shared" si="28"/>
        <v>FFDFD3C0</v>
      </c>
      <c r="D605" t="s">
        <v>124</v>
      </c>
      <c r="E605">
        <v>10</v>
      </c>
      <c r="F605">
        <v>1010</v>
      </c>
      <c r="G605" t="s">
        <v>130</v>
      </c>
      <c r="J605" t="s">
        <v>125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"14:45:12.797"</f>
        <v>14:45:12.797</v>
      </c>
      <c r="T605" t="str">
        <f>"14:45:12.397"</f>
        <v>14:45:12.397</v>
      </c>
      <c r="U605" t="str">
        <f t="shared" si="27"/>
        <v>A0F928</v>
      </c>
      <c r="V605">
        <v>0</v>
      </c>
      <c r="W605">
        <v>0</v>
      </c>
      <c r="X605">
        <v>2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0</v>
      </c>
      <c r="AG605">
        <v>2</v>
      </c>
      <c r="AH605">
        <v>1</v>
      </c>
      <c r="AI605" t="s">
        <v>421</v>
      </c>
      <c r="AJ605">
        <v>35.811546</v>
      </c>
      <c r="AK605" t="s">
        <v>422</v>
      </c>
      <c r="AL605">
        <v>-83.936404999999993</v>
      </c>
      <c r="AM605">
        <v>25</v>
      </c>
      <c r="AN605">
        <v>1625</v>
      </c>
      <c r="AO605" t="s">
        <v>118</v>
      </c>
      <c r="AP605">
        <v>63</v>
      </c>
      <c r="AQ605">
        <v>-68</v>
      </c>
      <c r="AR605">
        <v>64</v>
      </c>
      <c r="AZ605">
        <v>300</v>
      </c>
      <c r="BA605">
        <v>1</v>
      </c>
      <c r="BB605" t="str">
        <f t="shared" si="29"/>
        <v xml:space="preserve">N162AM  </v>
      </c>
      <c r="BC605">
        <v>1</v>
      </c>
      <c r="BE605">
        <v>0</v>
      </c>
      <c r="BF605">
        <v>0</v>
      </c>
      <c r="BG605">
        <v>0</v>
      </c>
      <c r="BH605">
        <v>1875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>"14:45:12.797"</f>
        <v>14:45:12.797</v>
      </c>
      <c r="CJ605">
        <v>2</v>
      </c>
      <c r="CK605">
        <v>2</v>
      </c>
      <c r="CL605">
        <v>0</v>
      </c>
      <c r="CM605">
        <v>2</v>
      </c>
      <c r="CN605">
        <v>0</v>
      </c>
      <c r="CO605">
        <v>6</v>
      </c>
      <c r="CP605" t="s">
        <v>119</v>
      </c>
      <c r="CQ605">
        <v>232</v>
      </c>
      <c r="CR605">
        <v>2</v>
      </c>
      <c r="CW605">
        <v>6256520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1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"12/16/2021 14:45:14.068"</f>
        <v>12/16/2021 14:45:14.068</v>
      </c>
      <c r="C606" t="str">
        <f t="shared" si="28"/>
        <v>FFDFD3C0</v>
      </c>
      <c r="D606" t="s">
        <v>124</v>
      </c>
      <c r="E606">
        <v>5</v>
      </c>
      <c r="F606">
        <v>1005</v>
      </c>
      <c r="G606" t="s">
        <v>114</v>
      </c>
      <c r="J606" t="s">
        <v>125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"14:45:13.820"</f>
        <v>14:45:13.820</v>
      </c>
      <c r="T606" t="str">
        <f>"14:45:13.320"</f>
        <v>14:45:13.320</v>
      </c>
      <c r="U606" t="str">
        <f t="shared" si="27"/>
        <v>A0F928</v>
      </c>
      <c r="V606">
        <v>0</v>
      </c>
      <c r="W606">
        <v>0</v>
      </c>
      <c r="X606">
        <v>2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1</v>
      </c>
      <c r="AI606" t="s">
        <v>423</v>
      </c>
      <c r="AJ606">
        <v>35.811224000000003</v>
      </c>
      <c r="AK606" t="s">
        <v>424</v>
      </c>
      <c r="AL606">
        <v>-83.936062000000007</v>
      </c>
      <c r="AM606">
        <v>25</v>
      </c>
      <c r="AN606">
        <v>1625</v>
      </c>
      <c r="AO606" t="s">
        <v>118</v>
      </c>
      <c r="AP606">
        <v>58</v>
      </c>
      <c r="AQ606">
        <v>-72</v>
      </c>
      <c r="AR606">
        <v>0</v>
      </c>
      <c r="AZ606">
        <v>300</v>
      </c>
      <c r="BA606">
        <v>1</v>
      </c>
      <c r="BB606" t="str">
        <f t="shared" si="29"/>
        <v xml:space="preserve">N162AM  </v>
      </c>
      <c r="BC606">
        <v>1</v>
      </c>
      <c r="BE606">
        <v>0</v>
      </c>
      <c r="BF606">
        <v>0</v>
      </c>
      <c r="BG606">
        <v>0</v>
      </c>
      <c r="BH606">
        <v>1875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>"14:45:13.825"</f>
        <v>14:45:13.825</v>
      </c>
      <c r="CJ606">
        <v>3</v>
      </c>
      <c r="CK606">
        <v>2</v>
      </c>
      <c r="CL606">
        <v>0</v>
      </c>
      <c r="CM606">
        <v>2</v>
      </c>
      <c r="CN606">
        <v>0</v>
      </c>
      <c r="CO606">
        <v>6</v>
      </c>
      <c r="CP606" t="s">
        <v>119</v>
      </c>
      <c r="CQ606">
        <v>232</v>
      </c>
      <c r="CR606">
        <v>1</v>
      </c>
      <c r="CW606">
        <v>15062781</v>
      </c>
      <c r="CY606">
        <v>1</v>
      </c>
      <c r="CZ606">
        <v>0</v>
      </c>
      <c r="DA606">
        <v>0</v>
      </c>
      <c r="DB606">
        <v>0</v>
      </c>
      <c r="DC606">
        <v>0</v>
      </c>
      <c r="DD606">
        <v>1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"12/16/2021 14:45:14.068"</f>
        <v>12/16/2021 14:45:14.068</v>
      </c>
      <c r="C607" t="str">
        <f t="shared" si="28"/>
        <v>FFDFD3C0</v>
      </c>
      <c r="D607" t="s">
        <v>133</v>
      </c>
      <c r="E607">
        <v>44</v>
      </c>
      <c r="H607">
        <v>131</v>
      </c>
      <c r="I607" t="s">
        <v>134</v>
      </c>
      <c r="J607" t="s">
        <v>135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"14:45:13.820"</f>
        <v>14:45:13.820</v>
      </c>
      <c r="T607" t="str">
        <f>"14:45:13.320"</f>
        <v>14:45:13.320</v>
      </c>
      <c r="U607" t="str">
        <f t="shared" si="27"/>
        <v>A0F928</v>
      </c>
      <c r="V607">
        <v>0</v>
      </c>
      <c r="W607">
        <v>0</v>
      </c>
      <c r="X607">
        <v>2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1</v>
      </c>
      <c r="AI607" t="s">
        <v>423</v>
      </c>
      <c r="AJ607">
        <v>35.811224000000003</v>
      </c>
      <c r="AK607" t="s">
        <v>424</v>
      </c>
      <c r="AL607">
        <v>-83.936062000000007</v>
      </c>
      <c r="AM607">
        <v>25</v>
      </c>
      <c r="AN607">
        <v>1625</v>
      </c>
      <c r="AO607" t="s">
        <v>118</v>
      </c>
      <c r="AP607">
        <v>58</v>
      </c>
      <c r="AQ607">
        <v>-72</v>
      </c>
      <c r="AR607">
        <v>0</v>
      </c>
      <c r="AZ607">
        <v>300</v>
      </c>
      <c r="BA607">
        <v>1</v>
      </c>
      <c r="BB607" t="str">
        <f t="shared" si="29"/>
        <v xml:space="preserve">N162AM  </v>
      </c>
      <c r="BC607">
        <v>1</v>
      </c>
      <c r="BE607">
        <v>0</v>
      </c>
      <c r="BF607">
        <v>0</v>
      </c>
      <c r="BG607">
        <v>0</v>
      </c>
      <c r="BH607">
        <v>1875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>"14:45:13.825"</f>
        <v>14:45:13.825</v>
      </c>
      <c r="CJ607">
        <v>3</v>
      </c>
      <c r="CK607">
        <v>2</v>
      </c>
      <c r="CL607">
        <v>0</v>
      </c>
      <c r="CM607">
        <v>2</v>
      </c>
      <c r="CN607">
        <v>0</v>
      </c>
      <c r="CO607">
        <v>6</v>
      </c>
      <c r="CP607" t="s">
        <v>119</v>
      </c>
      <c r="CQ607">
        <v>232</v>
      </c>
      <c r="CR607">
        <v>1</v>
      </c>
      <c r="CW607">
        <v>15062781</v>
      </c>
      <c r="CY607">
        <v>1</v>
      </c>
      <c r="CZ607">
        <v>0</v>
      </c>
      <c r="DA607">
        <v>1</v>
      </c>
      <c r="DB607">
        <v>0</v>
      </c>
      <c r="DC607">
        <v>0</v>
      </c>
      <c r="DD607">
        <v>1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"12/16/2021 14:45:14.068"</f>
        <v>12/16/2021 14:45:14.068</v>
      </c>
      <c r="C608" t="str">
        <f t="shared" si="28"/>
        <v>FFDFD3C0</v>
      </c>
      <c r="D608" t="s">
        <v>124</v>
      </c>
      <c r="E608">
        <v>10</v>
      </c>
      <c r="F608">
        <v>1010</v>
      </c>
      <c r="G608" t="s">
        <v>130</v>
      </c>
      <c r="J608" t="s">
        <v>125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"14:45:13.820"</f>
        <v>14:45:13.820</v>
      </c>
      <c r="T608" t="str">
        <f>"14:45:13.320"</f>
        <v>14:45:13.320</v>
      </c>
      <c r="U608" t="str">
        <f t="shared" si="27"/>
        <v>A0F928</v>
      </c>
      <c r="V608">
        <v>0</v>
      </c>
      <c r="W608">
        <v>0</v>
      </c>
      <c r="X608">
        <v>2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0</v>
      </c>
      <c r="AG608">
        <v>2</v>
      </c>
      <c r="AH608">
        <v>1</v>
      </c>
      <c r="AI608" t="s">
        <v>423</v>
      </c>
      <c r="AJ608">
        <v>35.811224000000003</v>
      </c>
      <c r="AK608" t="s">
        <v>424</v>
      </c>
      <c r="AL608">
        <v>-83.936062000000007</v>
      </c>
      <c r="AM608">
        <v>25</v>
      </c>
      <c r="AN608">
        <v>1625</v>
      </c>
      <c r="AO608" t="s">
        <v>118</v>
      </c>
      <c r="AP608">
        <v>58</v>
      </c>
      <c r="AQ608">
        <v>-72</v>
      </c>
      <c r="AR608">
        <v>0</v>
      </c>
      <c r="AZ608">
        <v>300</v>
      </c>
      <c r="BA608">
        <v>1</v>
      </c>
      <c r="BB608" t="str">
        <f t="shared" si="29"/>
        <v xml:space="preserve">N162AM  </v>
      </c>
      <c r="BC608">
        <v>1</v>
      </c>
      <c r="BE608">
        <v>0</v>
      </c>
      <c r="BF608">
        <v>0</v>
      </c>
      <c r="BG608">
        <v>0</v>
      </c>
      <c r="BH608">
        <v>1875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>"14:45:13.825"</f>
        <v>14:45:13.825</v>
      </c>
      <c r="CJ608">
        <v>2</v>
      </c>
      <c r="CK608">
        <v>2</v>
      </c>
      <c r="CL608">
        <v>0</v>
      </c>
      <c r="CM608">
        <v>2</v>
      </c>
      <c r="CN608">
        <v>0</v>
      </c>
      <c r="CO608">
        <v>6</v>
      </c>
      <c r="CP608" t="s">
        <v>119</v>
      </c>
      <c r="CQ608">
        <v>232</v>
      </c>
      <c r="CR608">
        <v>1</v>
      </c>
      <c r="CW608">
        <v>15062781</v>
      </c>
      <c r="CY608">
        <v>1</v>
      </c>
      <c r="CZ608">
        <v>0</v>
      </c>
      <c r="DA608">
        <v>1</v>
      </c>
      <c r="DB608">
        <v>0</v>
      </c>
      <c r="DC608">
        <v>0</v>
      </c>
      <c r="DD608">
        <v>1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"12/16/2021 14:45:14.068"</f>
        <v>12/16/2021 14:45:14.068</v>
      </c>
      <c r="C609" t="str">
        <f t="shared" si="28"/>
        <v>FFDFD3C0</v>
      </c>
      <c r="D609" t="s">
        <v>113</v>
      </c>
      <c r="E609">
        <v>8</v>
      </c>
      <c r="H609">
        <v>176</v>
      </c>
      <c r="I609" t="s">
        <v>114</v>
      </c>
      <c r="J609" t="s">
        <v>115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"14:45:13.820"</f>
        <v>14:45:13.820</v>
      </c>
      <c r="T609" t="str">
        <f>"14:45:13.320"</f>
        <v>14:45:13.320</v>
      </c>
      <c r="U609" t="str">
        <f t="shared" si="27"/>
        <v>A0F928</v>
      </c>
      <c r="V609">
        <v>0</v>
      </c>
      <c r="W609">
        <v>0</v>
      </c>
      <c r="X609">
        <v>2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1</v>
      </c>
      <c r="AI609" t="s">
        <v>423</v>
      </c>
      <c r="AJ609">
        <v>35.811224000000003</v>
      </c>
      <c r="AK609" t="s">
        <v>424</v>
      </c>
      <c r="AL609">
        <v>-83.936062000000007</v>
      </c>
      <c r="AM609">
        <v>25</v>
      </c>
      <c r="AN609">
        <v>1625</v>
      </c>
      <c r="AO609" t="s">
        <v>118</v>
      </c>
      <c r="AP609">
        <v>58</v>
      </c>
      <c r="AQ609">
        <v>-72</v>
      </c>
      <c r="AR609">
        <v>0</v>
      </c>
      <c r="AZ609">
        <v>300</v>
      </c>
      <c r="BA609">
        <v>1</v>
      </c>
      <c r="BB609" t="str">
        <f t="shared" si="29"/>
        <v xml:space="preserve">N162AM  </v>
      </c>
      <c r="BC609">
        <v>1</v>
      </c>
      <c r="BE609">
        <v>0</v>
      </c>
      <c r="BF609">
        <v>0</v>
      </c>
      <c r="BG609">
        <v>0</v>
      </c>
      <c r="BH609">
        <v>1875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>"14:45:13.825"</f>
        <v>14:45:13.825</v>
      </c>
      <c r="CJ609">
        <v>3</v>
      </c>
      <c r="CK609">
        <v>2</v>
      </c>
      <c r="CL609">
        <v>0</v>
      </c>
      <c r="CM609">
        <v>2</v>
      </c>
      <c r="CN609">
        <v>0</v>
      </c>
      <c r="CO609">
        <v>6</v>
      </c>
      <c r="CP609" t="s">
        <v>119</v>
      </c>
      <c r="CQ609">
        <v>232</v>
      </c>
      <c r="CR609">
        <v>1</v>
      </c>
      <c r="CW609">
        <v>15062781</v>
      </c>
      <c r="CY609">
        <v>1</v>
      </c>
      <c r="CZ609">
        <v>0</v>
      </c>
      <c r="DA609">
        <v>1</v>
      </c>
      <c r="DB609">
        <v>0</v>
      </c>
      <c r="DC609">
        <v>0</v>
      </c>
      <c r="DD609">
        <v>1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"12/16/2021 14:45:15.036"</f>
        <v>12/16/2021 14:45:15.036</v>
      </c>
      <c r="C610" t="str">
        <f t="shared" si="28"/>
        <v>FFDFD3C0</v>
      </c>
      <c r="D610" t="s">
        <v>133</v>
      </c>
      <c r="E610">
        <v>44</v>
      </c>
      <c r="H610">
        <v>131</v>
      </c>
      <c r="I610" t="s">
        <v>134</v>
      </c>
      <c r="J610" t="s">
        <v>135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"14:45:14.813"</f>
        <v>14:45:14.813</v>
      </c>
      <c r="T610" t="str">
        <f>"14:45:14.313"</f>
        <v>14:45:14.313</v>
      </c>
      <c r="U610" t="str">
        <f t="shared" si="27"/>
        <v>A0F928</v>
      </c>
      <c r="V610">
        <v>0</v>
      </c>
      <c r="W610">
        <v>0</v>
      </c>
      <c r="X610">
        <v>2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1</v>
      </c>
      <c r="AI610" t="s">
        <v>425</v>
      </c>
      <c r="AJ610">
        <v>35.810859000000001</v>
      </c>
      <c r="AK610" t="s">
        <v>426</v>
      </c>
      <c r="AL610">
        <v>-83.935783000000001</v>
      </c>
      <c r="AM610">
        <v>25</v>
      </c>
      <c r="AN610">
        <v>1625</v>
      </c>
      <c r="AO610" t="s">
        <v>118</v>
      </c>
      <c r="AP610">
        <v>54</v>
      </c>
      <c r="AQ610">
        <v>-74</v>
      </c>
      <c r="AR610">
        <v>0</v>
      </c>
      <c r="AZ610">
        <v>300</v>
      </c>
      <c r="BA610">
        <v>1</v>
      </c>
      <c r="BB610" t="str">
        <f t="shared" si="29"/>
        <v xml:space="preserve">N162AM  </v>
      </c>
      <c r="BC610">
        <v>1</v>
      </c>
      <c r="BE610">
        <v>0</v>
      </c>
      <c r="BF610">
        <v>0</v>
      </c>
      <c r="BG610">
        <v>0</v>
      </c>
      <c r="BH610">
        <v>1875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>"14:45:14.814"</f>
        <v>14:45:14.814</v>
      </c>
      <c r="CJ610">
        <v>3</v>
      </c>
      <c r="CK610">
        <v>2</v>
      </c>
      <c r="CL610">
        <v>0</v>
      </c>
      <c r="CM610">
        <v>2</v>
      </c>
      <c r="CN610">
        <v>0</v>
      </c>
      <c r="CO610">
        <v>6</v>
      </c>
      <c r="CP610" t="s">
        <v>119</v>
      </c>
      <c r="CQ610">
        <v>232</v>
      </c>
      <c r="CR610">
        <v>1</v>
      </c>
      <c r="CW610">
        <v>15064307</v>
      </c>
      <c r="CY610">
        <v>1</v>
      </c>
      <c r="CZ610">
        <v>0</v>
      </c>
      <c r="DA610">
        <v>0</v>
      </c>
      <c r="DB610">
        <v>0</v>
      </c>
      <c r="DC610">
        <v>0</v>
      </c>
      <c r="DD610">
        <v>1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"12/16/2021 14:45:15.036"</f>
        <v>12/16/2021 14:45:15.036</v>
      </c>
      <c r="C611" t="str">
        <f t="shared" si="28"/>
        <v>FFDFD3C0</v>
      </c>
      <c r="D611" t="s">
        <v>113</v>
      </c>
      <c r="E611">
        <v>8</v>
      </c>
      <c r="H611">
        <v>176</v>
      </c>
      <c r="I611" t="s">
        <v>114</v>
      </c>
      <c r="J611" t="s">
        <v>115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"14:45:14.813"</f>
        <v>14:45:14.813</v>
      </c>
      <c r="T611" t="str">
        <f>"14:45:14.313"</f>
        <v>14:45:14.313</v>
      </c>
      <c r="U611" t="str">
        <f t="shared" si="27"/>
        <v>A0F928</v>
      </c>
      <c r="V611">
        <v>0</v>
      </c>
      <c r="W611">
        <v>0</v>
      </c>
      <c r="X611">
        <v>2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1</v>
      </c>
      <c r="AI611" t="s">
        <v>425</v>
      </c>
      <c r="AJ611">
        <v>35.810859000000001</v>
      </c>
      <c r="AK611" t="s">
        <v>426</v>
      </c>
      <c r="AL611">
        <v>-83.935783000000001</v>
      </c>
      <c r="AM611">
        <v>25</v>
      </c>
      <c r="AN611">
        <v>1625</v>
      </c>
      <c r="AO611" t="s">
        <v>118</v>
      </c>
      <c r="AP611">
        <v>54</v>
      </c>
      <c r="AQ611">
        <v>-74</v>
      </c>
      <c r="AR611">
        <v>0</v>
      </c>
      <c r="AZ611">
        <v>300</v>
      </c>
      <c r="BA611">
        <v>1</v>
      </c>
      <c r="BB611" t="str">
        <f t="shared" si="29"/>
        <v xml:space="preserve">N162AM  </v>
      </c>
      <c r="BC611">
        <v>1</v>
      </c>
      <c r="BE611">
        <v>0</v>
      </c>
      <c r="BF611">
        <v>0</v>
      </c>
      <c r="BG611">
        <v>0</v>
      </c>
      <c r="BH611">
        <v>1875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>"14:45:14.814"</f>
        <v>14:45:14.814</v>
      </c>
      <c r="CJ611">
        <v>3</v>
      </c>
      <c r="CK611">
        <v>2</v>
      </c>
      <c r="CL611">
        <v>0</v>
      </c>
      <c r="CM611">
        <v>2</v>
      </c>
      <c r="CN611">
        <v>0</v>
      </c>
      <c r="CO611">
        <v>6</v>
      </c>
      <c r="CP611" t="s">
        <v>119</v>
      </c>
      <c r="CQ611">
        <v>232</v>
      </c>
      <c r="CR611">
        <v>1</v>
      </c>
      <c r="CW611">
        <v>15064307</v>
      </c>
      <c r="CY611">
        <v>1</v>
      </c>
      <c r="CZ611">
        <v>0</v>
      </c>
      <c r="DA611">
        <v>1</v>
      </c>
      <c r="DB611">
        <v>0</v>
      </c>
      <c r="DC611">
        <v>0</v>
      </c>
      <c r="DD611">
        <v>1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"12/16/2021 14:45:15.068"</f>
        <v>12/16/2021 14:45:15.068</v>
      </c>
      <c r="C612" t="str">
        <f t="shared" si="28"/>
        <v>FFDFD3C0</v>
      </c>
      <c r="D612" t="s">
        <v>124</v>
      </c>
      <c r="E612">
        <v>10</v>
      </c>
      <c r="F612">
        <v>1010</v>
      </c>
      <c r="G612" t="s">
        <v>130</v>
      </c>
      <c r="J612" t="s">
        <v>125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"14:45:14.813"</f>
        <v>14:45:14.813</v>
      </c>
      <c r="T612" t="str">
        <f>"14:45:14.313"</f>
        <v>14:45:14.313</v>
      </c>
      <c r="U612" t="str">
        <f t="shared" si="27"/>
        <v>A0F928</v>
      </c>
      <c r="V612">
        <v>0</v>
      </c>
      <c r="W612">
        <v>0</v>
      </c>
      <c r="X612">
        <v>2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0</v>
      </c>
      <c r="AG612">
        <v>2</v>
      </c>
      <c r="AH612">
        <v>1</v>
      </c>
      <c r="AI612" t="s">
        <v>425</v>
      </c>
      <c r="AJ612">
        <v>35.810859000000001</v>
      </c>
      <c r="AK612" t="s">
        <v>426</v>
      </c>
      <c r="AL612">
        <v>-83.935783000000001</v>
      </c>
      <c r="AM612">
        <v>25</v>
      </c>
      <c r="AN612">
        <v>1625</v>
      </c>
      <c r="AO612" t="s">
        <v>118</v>
      </c>
      <c r="AP612">
        <v>54</v>
      </c>
      <c r="AQ612">
        <v>-74</v>
      </c>
      <c r="AR612">
        <v>0</v>
      </c>
      <c r="AZ612">
        <v>300</v>
      </c>
      <c r="BA612">
        <v>1</v>
      </c>
      <c r="BB612" t="str">
        <f t="shared" si="29"/>
        <v xml:space="preserve">N162AM  </v>
      </c>
      <c r="BC612">
        <v>1</v>
      </c>
      <c r="BE612">
        <v>0</v>
      </c>
      <c r="BF612">
        <v>0</v>
      </c>
      <c r="BG612">
        <v>0</v>
      </c>
      <c r="BH612">
        <v>1875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>"14:45:14.814"</f>
        <v>14:45:14.814</v>
      </c>
      <c r="CJ612">
        <v>2</v>
      </c>
      <c r="CK612">
        <v>2</v>
      </c>
      <c r="CL612">
        <v>0</v>
      </c>
      <c r="CM612">
        <v>2</v>
      </c>
      <c r="CN612">
        <v>0</v>
      </c>
      <c r="CO612">
        <v>6</v>
      </c>
      <c r="CP612" t="s">
        <v>119</v>
      </c>
      <c r="CQ612">
        <v>232</v>
      </c>
      <c r="CR612">
        <v>1</v>
      </c>
      <c r="CW612">
        <v>15064307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1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"12/16/2021 14:45:15.068"</f>
        <v>12/16/2021 14:45:15.068</v>
      </c>
      <c r="C613" t="str">
        <f t="shared" si="28"/>
        <v>FFDFD3C0</v>
      </c>
      <c r="D613" t="s">
        <v>124</v>
      </c>
      <c r="E613">
        <v>5</v>
      </c>
      <c r="F613">
        <v>1005</v>
      </c>
      <c r="G613" t="s">
        <v>114</v>
      </c>
      <c r="J613" t="s">
        <v>125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"14:45:14.813"</f>
        <v>14:45:14.813</v>
      </c>
      <c r="T613" t="str">
        <f>"14:45:14.313"</f>
        <v>14:45:14.313</v>
      </c>
      <c r="U613" t="str">
        <f t="shared" si="27"/>
        <v>A0F928</v>
      </c>
      <c r="V613">
        <v>0</v>
      </c>
      <c r="W613">
        <v>0</v>
      </c>
      <c r="X613">
        <v>2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1</v>
      </c>
      <c r="AI613" t="s">
        <v>425</v>
      </c>
      <c r="AJ613">
        <v>35.810859000000001</v>
      </c>
      <c r="AK613" t="s">
        <v>426</v>
      </c>
      <c r="AL613">
        <v>-83.935783000000001</v>
      </c>
      <c r="AM613">
        <v>25</v>
      </c>
      <c r="AN613">
        <v>1625</v>
      </c>
      <c r="AO613" t="s">
        <v>118</v>
      </c>
      <c r="AP613">
        <v>54</v>
      </c>
      <c r="AQ613">
        <v>-74</v>
      </c>
      <c r="AR613">
        <v>0</v>
      </c>
      <c r="AZ613">
        <v>300</v>
      </c>
      <c r="BA613">
        <v>1</v>
      </c>
      <c r="BB613" t="str">
        <f t="shared" si="29"/>
        <v xml:space="preserve">N162AM  </v>
      </c>
      <c r="BC613">
        <v>1</v>
      </c>
      <c r="BE613">
        <v>0</v>
      </c>
      <c r="BF613">
        <v>0</v>
      </c>
      <c r="BG613">
        <v>0</v>
      </c>
      <c r="BH613">
        <v>1875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>"14:45:14.814"</f>
        <v>14:45:14.814</v>
      </c>
      <c r="CJ613">
        <v>3</v>
      </c>
      <c r="CK613">
        <v>2</v>
      </c>
      <c r="CL613">
        <v>0</v>
      </c>
      <c r="CM613">
        <v>2</v>
      </c>
      <c r="CN613">
        <v>0</v>
      </c>
      <c r="CO613">
        <v>6</v>
      </c>
      <c r="CP613" t="s">
        <v>119</v>
      </c>
      <c r="CQ613">
        <v>232</v>
      </c>
      <c r="CR613">
        <v>1</v>
      </c>
      <c r="CW613">
        <v>15064307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1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"12/16/2021 14:45:16.193"</f>
        <v>12/16/2021 14:45:16.193</v>
      </c>
      <c r="C614" t="str">
        <f t="shared" si="28"/>
        <v>FFDFD3C0</v>
      </c>
      <c r="D614" t="s">
        <v>124</v>
      </c>
      <c r="E614">
        <v>10</v>
      </c>
      <c r="F614">
        <v>1010</v>
      </c>
      <c r="G614" t="s">
        <v>130</v>
      </c>
      <c r="J614" t="s">
        <v>125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"14:45:15.922"</f>
        <v>14:45:15.922</v>
      </c>
      <c r="T614" t="str">
        <f>"14:45:15.422"</f>
        <v>14:45:15.422</v>
      </c>
      <c r="U614" t="str">
        <f t="shared" si="27"/>
        <v>A0F928</v>
      </c>
      <c r="V614">
        <v>0</v>
      </c>
      <c r="W614">
        <v>0</v>
      </c>
      <c r="X614">
        <v>2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0</v>
      </c>
      <c r="AG614">
        <v>2</v>
      </c>
      <c r="AH614">
        <v>1</v>
      </c>
      <c r="AI614" t="s">
        <v>427</v>
      </c>
      <c r="AJ614">
        <v>35.810451999999998</v>
      </c>
      <c r="AK614" t="s">
        <v>428</v>
      </c>
      <c r="AL614">
        <v>-83.935483000000005</v>
      </c>
      <c r="AM614">
        <v>25</v>
      </c>
      <c r="AN614">
        <v>1625</v>
      </c>
      <c r="AO614" t="s">
        <v>118</v>
      </c>
      <c r="AP614">
        <v>48</v>
      </c>
      <c r="AQ614">
        <v>-78</v>
      </c>
      <c r="AR614">
        <v>0</v>
      </c>
      <c r="AZ614">
        <v>300</v>
      </c>
      <c r="BA614">
        <v>1</v>
      </c>
      <c r="BB614" t="str">
        <f t="shared" si="29"/>
        <v xml:space="preserve">N162AM  </v>
      </c>
      <c r="BC614">
        <v>1</v>
      </c>
      <c r="BE614">
        <v>0</v>
      </c>
      <c r="BF614">
        <v>0</v>
      </c>
      <c r="BG614">
        <v>0</v>
      </c>
      <c r="BH614">
        <v>1875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>"14:45:15.925"</f>
        <v>14:45:15.925</v>
      </c>
      <c r="CJ614">
        <v>2</v>
      </c>
      <c r="CK614">
        <v>2</v>
      </c>
      <c r="CL614">
        <v>0</v>
      </c>
      <c r="CM614">
        <v>2</v>
      </c>
      <c r="CN614">
        <v>0</v>
      </c>
      <c r="CO614">
        <v>6</v>
      </c>
      <c r="CP614" t="s">
        <v>119</v>
      </c>
      <c r="CQ614">
        <v>232</v>
      </c>
      <c r="CR614">
        <v>2</v>
      </c>
      <c r="CW614">
        <v>6261461</v>
      </c>
      <c r="CY614">
        <v>1</v>
      </c>
      <c r="CZ614">
        <v>0</v>
      </c>
      <c r="DA614">
        <v>0</v>
      </c>
      <c r="DB614">
        <v>0</v>
      </c>
      <c r="DC614">
        <v>0</v>
      </c>
      <c r="DD614">
        <v>1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"12/16/2021 14:45:16.193"</f>
        <v>12/16/2021 14:45:16.193</v>
      </c>
      <c r="C615" t="str">
        <f t="shared" si="28"/>
        <v>FFDFD3C0</v>
      </c>
      <c r="D615" t="s">
        <v>124</v>
      </c>
      <c r="E615">
        <v>5</v>
      </c>
      <c r="F615">
        <v>1005</v>
      </c>
      <c r="G615" t="s">
        <v>114</v>
      </c>
      <c r="J615" t="s">
        <v>125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"14:45:15.922"</f>
        <v>14:45:15.922</v>
      </c>
      <c r="T615" t="str">
        <f>"14:45:15.422"</f>
        <v>14:45:15.422</v>
      </c>
      <c r="U615" t="str">
        <f t="shared" si="27"/>
        <v>A0F928</v>
      </c>
      <c r="V615">
        <v>0</v>
      </c>
      <c r="W615">
        <v>0</v>
      </c>
      <c r="X615">
        <v>2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1</v>
      </c>
      <c r="AI615" t="s">
        <v>427</v>
      </c>
      <c r="AJ615">
        <v>35.810451999999998</v>
      </c>
      <c r="AK615" t="s">
        <v>428</v>
      </c>
      <c r="AL615">
        <v>-83.935483000000005</v>
      </c>
      <c r="AM615">
        <v>25</v>
      </c>
      <c r="AN615">
        <v>1625</v>
      </c>
      <c r="AO615" t="s">
        <v>118</v>
      </c>
      <c r="AP615">
        <v>48</v>
      </c>
      <c r="AQ615">
        <v>-78</v>
      </c>
      <c r="AR615">
        <v>0</v>
      </c>
      <c r="AZ615">
        <v>300</v>
      </c>
      <c r="BA615">
        <v>1</v>
      </c>
      <c r="BB615" t="str">
        <f t="shared" si="29"/>
        <v xml:space="preserve">N162AM  </v>
      </c>
      <c r="BC615">
        <v>1</v>
      </c>
      <c r="BE615">
        <v>0</v>
      </c>
      <c r="BF615">
        <v>0</v>
      </c>
      <c r="BG615">
        <v>0</v>
      </c>
      <c r="BH615">
        <v>1875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>"14:45:15.925"</f>
        <v>14:45:15.925</v>
      </c>
      <c r="CJ615">
        <v>3</v>
      </c>
      <c r="CK615">
        <v>2</v>
      </c>
      <c r="CL615">
        <v>0</v>
      </c>
      <c r="CM615">
        <v>2</v>
      </c>
      <c r="CN615">
        <v>0</v>
      </c>
      <c r="CO615">
        <v>6</v>
      </c>
      <c r="CP615" t="s">
        <v>119</v>
      </c>
      <c r="CQ615">
        <v>232</v>
      </c>
      <c r="CR615">
        <v>2</v>
      </c>
      <c r="CW615">
        <v>6261461</v>
      </c>
      <c r="CY615">
        <v>1</v>
      </c>
      <c r="CZ615">
        <v>0</v>
      </c>
      <c r="DA615">
        <v>1</v>
      </c>
      <c r="DB615">
        <v>0</v>
      </c>
      <c r="DC615">
        <v>0</v>
      </c>
      <c r="DD615">
        <v>1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"12/16/2021 14:45:16.193"</f>
        <v>12/16/2021 14:45:16.193</v>
      </c>
      <c r="C616" t="str">
        <f t="shared" si="28"/>
        <v>FFDFD3C0</v>
      </c>
      <c r="D616" t="s">
        <v>133</v>
      </c>
      <c r="E616">
        <v>44</v>
      </c>
      <c r="H616">
        <v>131</v>
      </c>
      <c r="I616" t="s">
        <v>134</v>
      </c>
      <c r="J616" t="s">
        <v>135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"14:45:15.922"</f>
        <v>14:45:15.922</v>
      </c>
      <c r="T616" t="str">
        <f>"14:45:15.422"</f>
        <v>14:45:15.422</v>
      </c>
      <c r="U616" t="str">
        <f t="shared" si="27"/>
        <v>A0F928</v>
      </c>
      <c r="V616">
        <v>0</v>
      </c>
      <c r="W616">
        <v>0</v>
      </c>
      <c r="X616">
        <v>2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1</v>
      </c>
      <c r="AI616" t="s">
        <v>427</v>
      </c>
      <c r="AJ616">
        <v>35.810451999999998</v>
      </c>
      <c r="AK616" t="s">
        <v>428</v>
      </c>
      <c r="AL616">
        <v>-83.935483000000005</v>
      </c>
      <c r="AM616">
        <v>25</v>
      </c>
      <c r="AN616">
        <v>1625</v>
      </c>
      <c r="AO616" t="s">
        <v>118</v>
      </c>
      <c r="AP616">
        <v>48</v>
      </c>
      <c r="AQ616">
        <v>-78</v>
      </c>
      <c r="AR616">
        <v>0</v>
      </c>
      <c r="AZ616">
        <v>300</v>
      </c>
      <c r="BA616">
        <v>1</v>
      </c>
      <c r="BB616" t="str">
        <f t="shared" si="29"/>
        <v xml:space="preserve">N162AM  </v>
      </c>
      <c r="BC616">
        <v>1</v>
      </c>
      <c r="BE616">
        <v>0</v>
      </c>
      <c r="BF616">
        <v>0</v>
      </c>
      <c r="BG616">
        <v>0</v>
      </c>
      <c r="BH616">
        <v>1875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>"14:45:15.925"</f>
        <v>14:45:15.925</v>
      </c>
      <c r="CJ616">
        <v>3</v>
      </c>
      <c r="CK616">
        <v>2</v>
      </c>
      <c r="CL616">
        <v>0</v>
      </c>
      <c r="CM616">
        <v>2</v>
      </c>
      <c r="CN616">
        <v>0</v>
      </c>
      <c r="CO616">
        <v>6</v>
      </c>
      <c r="CP616" t="s">
        <v>119</v>
      </c>
      <c r="CQ616">
        <v>232</v>
      </c>
      <c r="CR616">
        <v>2</v>
      </c>
      <c r="CW616">
        <v>6261461</v>
      </c>
      <c r="CY616">
        <v>1</v>
      </c>
      <c r="CZ616">
        <v>0</v>
      </c>
      <c r="DA616">
        <v>1</v>
      </c>
      <c r="DB616">
        <v>0</v>
      </c>
      <c r="DC616">
        <v>0</v>
      </c>
      <c r="DD616">
        <v>1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"12/16/2021 14:45:16.193"</f>
        <v>12/16/2021 14:45:16.193</v>
      </c>
      <c r="C617" t="str">
        <f t="shared" si="28"/>
        <v>FFDFD3C0</v>
      </c>
      <c r="D617" t="s">
        <v>113</v>
      </c>
      <c r="E617">
        <v>8</v>
      </c>
      <c r="H617">
        <v>176</v>
      </c>
      <c r="I617" t="s">
        <v>114</v>
      </c>
      <c r="J617" t="s">
        <v>115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"14:45:15.922"</f>
        <v>14:45:15.922</v>
      </c>
      <c r="T617" t="str">
        <f>"14:45:15.422"</f>
        <v>14:45:15.422</v>
      </c>
      <c r="U617" t="str">
        <f t="shared" si="27"/>
        <v>A0F928</v>
      </c>
      <c r="V617">
        <v>0</v>
      </c>
      <c r="W617">
        <v>0</v>
      </c>
      <c r="X617">
        <v>2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1</v>
      </c>
      <c r="AI617" t="s">
        <v>427</v>
      </c>
      <c r="AJ617">
        <v>35.810451999999998</v>
      </c>
      <c r="AK617" t="s">
        <v>428</v>
      </c>
      <c r="AL617">
        <v>-83.935483000000005</v>
      </c>
      <c r="AM617">
        <v>25</v>
      </c>
      <c r="AN617">
        <v>1625</v>
      </c>
      <c r="AO617" t="s">
        <v>118</v>
      </c>
      <c r="AP617">
        <v>48</v>
      </c>
      <c r="AQ617">
        <v>-78</v>
      </c>
      <c r="AR617">
        <v>0</v>
      </c>
      <c r="AZ617">
        <v>300</v>
      </c>
      <c r="BA617">
        <v>1</v>
      </c>
      <c r="BB617" t="str">
        <f t="shared" si="29"/>
        <v xml:space="preserve">N162AM  </v>
      </c>
      <c r="BC617">
        <v>1</v>
      </c>
      <c r="BE617">
        <v>0</v>
      </c>
      <c r="BF617">
        <v>0</v>
      </c>
      <c r="BG617">
        <v>0</v>
      </c>
      <c r="BH617">
        <v>1875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>"14:45:15.925"</f>
        <v>14:45:15.925</v>
      </c>
      <c r="CJ617">
        <v>3</v>
      </c>
      <c r="CK617">
        <v>2</v>
      </c>
      <c r="CL617">
        <v>0</v>
      </c>
      <c r="CM617">
        <v>2</v>
      </c>
      <c r="CN617">
        <v>0</v>
      </c>
      <c r="CO617">
        <v>6</v>
      </c>
      <c r="CP617" t="s">
        <v>119</v>
      </c>
      <c r="CQ617">
        <v>232</v>
      </c>
      <c r="CR617">
        <v>2</v>
      </c>
      <c r="CW617">
        <v>6261461</v>
      </c>
      <c r="CY617">
        <v>1</v>
      </c>
      <c r="CZ617">
        <v>0</v>
      </c>
      <c r="DA617">
        <v>1</v>
      </c>
      <c r="DB617">
        <v>0</v>
      </c>
      <c r="DC617">
        <v>0</v>
      </c>
      <c r="DD617">
        <v>1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"12/16/2021 14:45:17.038"</f>
        <v>12/16/2021 14:45:17.038</v>
      </c>
      <c r="C618" t="str">
        <f t="shared" si="28"/>
        <v>FFDFD3C0</v>
      </c>
      <c r="D618" t="s">
        <v>124</v>
      </c>
      <c r="E618">
        <v>10</v>
      </c>
      <c r="F618">
        <v>1010</v>
      </c>
      <c r="G618" t="s">
        <v>130</v>
      </c>
      <c r="J618" t="s">
        <v>125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"14:45:16.813"</f>
        <v>14:45:16.813</v>
      </c>
      <c r="T618" t="str">
        <f>"14:45:16.413"</f>
        <v>14:45:16.413</v>
      </c>
      <c r="U618" t="str">
        <f t="shared" si="27"/>
        <v>A0F928</v>
      </c>
      <c r="V618">
        <v>0</v>
      </c>
      <c r="W618">
        <v>0</v>
      </c>
      <c r="X618">
        <v>2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0</v>
      </c>
      <c r="AG618">
        <v>2</v>
      </c>
      <c r="AH618">
        <v>1</v>
      </c>
      <c r="AI618" t="s">
        <v>429</v>
      </c>
      <c r="AJ618">
        <v>35.810130000000001</v>
      </c>
      <c r="AK618" t="s">
        <v>430</v>
      </c>
      <c r="AL618">
        <v>-83.935267999999994</v>
      </c>
      <c r="AM618">
        <v>25</v>
      </c>
      <c r="AN618">
        <v>1625</v>
      </c>
      <c r="AO618" t="s">
        <v>118</v>
      </c>
      <c r="AP618">
        <v>42</v>
      </c>
      <c r="AQ618">
        <v>-80</v>
      </c>
      <c r="AR618">
        <v>0</v>
      </c>
      <c r="AZ618">
        <v>300</v>
      </c>
      <c r="BA618">
        <v>1</v>
      </c>
      <c r="BB618" t="str">
        <f t="shared" si="29"/>
        <v xml:space="preserve">N162AM  </v>
      </c>
      <c r="BC618">
        <v>1</v>
      </c>
      <c r="BE618">
        <v>0</v>
      </c>
      <c r="BF618">
        <v>0</v>
      </c>
      <c r="BG618">
        <v>0</v>
      </c>
      <c r="BH618">
        <v>1875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>"14:45:16.815"</f>
        <v>14:45:16.815</v>
      </c>
      <c r="CJ618">
        <v>2</v>
      </c>
      <c r="CK618">
        <v>2</v>
      </c>
      <c r="CL618">
        <v>0</v>
      </c>
      <c r="CM618">
        <v>2</v>
      </c>
      <c r="CN618">
        <v>0</v>
      </c>
      <c r="CO618">
        <v>5</v>
      </c>
      <c r="CP618" t="s">
        <v>119</v>
      </c>
      <c r="CQ618">
        <v>232</v>
      </c>
      <c r="CR618">
        <v>1</v>
      </c>
      <c r="CW618">
        <v>15067490</v>
      </c>
      <c r="CY618">
        <v>1</v>
      </c>
      <c r="CZ618">
        <v>0</v>
      </c>
      <c r="DA618">
        <v>0</v>
      </c>
      <c r="DB618">
        <v>0</v>
      </c>
      <c r="DC618">
        <v>0</v>
      </c>
      <c r="DD618">
        <v>1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"12/16/2021 14:45:17.038"</f>
        <v>12/16/2021 14:45:17.038</v>
      </c>
      <c r="C619" t="str">
        <f t="shared" si="28"/>
        <v>FFDFD3C0</v>
      </c>
      <c r="D619" t="s">
        <v>133</v>
      </c>
      <c r="E619">
        <v>44</v>
      </c>
      <c r="H619">
        <v>131</v>
      </c>
      <c r="I619" t="s">
        <v>134</v>
      </c>
      <c r="J619" t="s">
        <v>135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"14:45:16.813"</f>
        <v>14:45:16.813</v>
      </c>
      <c r="T619" t="str">
        <f>"14:45:16.413"</f>
        <v>14:45:16.413</v>
      </c>
      <c r="U619" t="str">
        <f t="shared" si="27"/>
        <v>A0F928</v>
      </c>
      <c r="V619">
        <v>0</v>
      </c>
      <c r="W619">
        <v>0</v>
      </c>
      <c r="X619">
        <v>2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1</v>
      </c>
      <c r="AI619" t="s">
        <v>429</v>
      </c>
      <c r="AJ619">
        <v>35.810130000000001</v>
      </c>
      <c r="AK619" t="s">
        <v>430</v>
      </c>
      <c r="AL619">
        <v>-83.935267999999994</v>
      </c>
      <c r="AM619">
        <v>25</v>
      </c>
      <c r="AN619">
        <v>1625</v>
      </c>
      <c r="AO619" t="s">
        <v>118</v>
      </c>
      <c r="AP619">
        <v>42</v>
      </c>
      <c r="AQ619">
        <v>-80</v>
      </c>
      <c r="AR619">
        <v>0</v>
      </c>
      <c r="AZ619">
        <v>300</v>
      </c>
      <c r="BA619">
        <v>1</v>
      </c>
      <c r="BB619" t="str">
        <f t="shared" si="29"/>
        <v xml:space="preserve">N162AM  </v>
      </c>
      <c r="BC619">
        <v>1</v>
      </c>
      <c r="BE619">
        <v>0</v>
      </c>
      <c r="BF619">
        <v>0</v>
      </c>
      <c r="BG619">
        <v>0</v>
      </c>
      <c r="BH619">
        <v>1875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>"14:45:16.815"</f>
        <v>14:45:16.815</v>
      </c>
      <c r="CJ619">
        <v>3</v>
      </c>
      <c r="CK619">
        <v>2</v>
      </c>
      <c r="CL619">
        <v>0</v>
      </c>
      <c r="CM619">
        <v>2</v>
      </c>
      <c r="CN619">
        <v>0</v>
      </c>
      <c r="CO619">
        <v>5</v>
      </c>
      <c r="CP619" t="s">
        <v>119</v>
      </c>
      <c r="CQ619">
        <v>232</v>
      </c>
      <c r="CR619">
        <v>1</v>
      </c>
      <c r="CW619">
        <v>15067490</v>
      </c>
      <c r="CY619">
        <v>1</v>
      </c>
      <c r="CZ619">
        <v>0</v>
      </c>
      <c r="DA619">
        <v>1</v>
      </c>
      <c r="DB619">
        <v>0</v>
      </c>
      <c r="DC619">
        <v>0</v>
      </c>
      <c r="DD619">
        <v>1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"12/16/2021 14:45:17.038"</f>
        <v>12/16/2021 14:45:17.038</v>
      </c>
      <c r="C620" t="str">
        <f t="shared" si="28"/>
        <v>FFDFD3C0</v>
      </c>
      <c r="D620" t="s">
        <v>113</v>
      </c>
      <c r="E620">
        <v>8</v>
      </c>
      <c r="H620">
        <v>176</v>
      </c>
      <c r="I620" t="s">
        <v>114</v>
      </c>
      <c r="J620" t="s">
        <v>115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"14:45:16.813"</f>
        <v>14:45:16.813</v>
      </c>
      <c r="T620" t="str">
        <f>"14:45:16.413"</f>
        <v>14:45:16.413</v>
      </c>
      <c r="U620" t="str">
        <f t="shared" si="27"/>
        <v>A0F928</v>
      </c>
      <c r="V620">
        <v>0</v>
      </c>
      <c r="W620">
        <v>0</v>
      </c>
      <c r="X620">
        <v>2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1</v>
      </c>
      <c r="AI620" t="s">
        <v>429</v>
      </c>
      <c r="AJ620">
        <v>35.810130000000001</v>
      </c>
      <c r="AK620" t="s">
        <v>430</v>
      </c>
      <c r="AL620">
        <v>-83.935267999999994</v>
      </c>
      <c r="AM620">
        <v>25</v>
      </c>
      <c r="AN620">
        <v>1625</v>
      </c>
      <c r="AO620" t="s">
        <v>118</v>
      </c>
      <c r="AP620">
        <v>42</v>
      </c>
      <c r="AQ620">
        <v>-80</v>
      </c>
      <c r="AR620">
        <v>0</v>
      </c>
      <c r="AZ620">
        <v>300</v>
      </c>
      <c r="BA620">
        <v>1</v>
      </c>
      <c r="BB620" t="str">
        <f t="shared" si="29"/>
        <v xml:space="preserve">N162AM  </v>
      </c>
      <c r="BC620">
        <v>1</v>
      </c>
      <c r="BE620">
        <v>0</v>
      </c>
      <c r="BF620">
        <v>0</v>
      </c>
      <c r="BG620">
        <v>0</v>
      </c>
      <c r="BH620">
        <v>1875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>"14:45:16.815"</f>
        <v>14:45:16.815</v>
      </c>
      <c r="CJ620">
        <v>3</v>
      </c>
      <c r="CK620">
        <v>2</v>
      </c>
      <c r="CL620">
        <v>0</v>
      </c>
      <c r="CM620">
        <v>2</v>
      </c>
      <c r="CN620">
        <v>0</v>
      </c>
      <c r="CO620">
        <v>5</v>
      </c>
      <c r="CP620" t="s">
        <v>119</v>
      </c>
      <c r="CQ620">
        <v>232</v>
      </c>
      <c r="CR620">
        <v>1</v>
      </c>
      <c r="CW620">
        <v>15067490</v>
      </c>
      <c r="CY620">
        <v>1</v>
      </c>
      <c r="CZ620">
        <v>0</v>
      </c>
      <c r="DA620">
        <v>1</v>
      </c>
      <c r="DB620">
        <v>0</v>
      </c>
      <c r="DC620">
        <v>0</v>
      </c>
      <c r="DD620">
        <v>1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"12/16/2021 14:45:17.085"</f>
        <v>12/16/2021 14:45:17.085</v>
      </c>
      <c r="C621" t="str">
        <f t="shared" si="28"/>
        <v>FFDFD3C0</v>
      </c>
      <c r="D621" t="s">
        <v>124</v>
      </c>
      <c r="E621">
        <v>5</v>
      </c>
      <c r="F621">
        <v>1005</v>
      </c>
      <c r="G621" t="s">
        <v>114</v>
      </c>
      <c r="J621" t="s">
        <v>125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"14:45:16.813"</f>
        <v>14:45:16.813</v>
      </c>
      <c r="T621" t="str">
        <f>"14:45:16.413"</f>
        <v>14:45:16.413</v>
      </c>
      <c r="U621" t="str">
        <f t="shared" si="27"/>
        <v>A0F928</v>
      </c>
      <c r="V621">
        <v>0</v>
      </c>
      <c r="W621">
        <v>0</v>
      </c>
      <c r="X621">
        <v>2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1</v>
      </c>
      <c r="AI621" t="s">
        <v>429</v>
      </c>
      <c r="AJ621">
        <v>35.810130000000001</v>
      </c>
      <c r="AK621" t="s">
        <v>430</v>
      </c>
      <c r="AL621">
        <v>-83.935267999999994</v>
      </c>
      <c r="AM621">
        <v>25</v>
      </c>
      <c r="AN621">
        <v>1625</v>
      </c>
      <c r="AO621" t="s">
        <v>118</v>
      </c>
      <c r="AP621">
        <v>42</v>
      </c>
      <c r="AQ621">
        <v>-80</v>
      </c>
      <c r="AR621">
        <v>0</v>
      </c>
      <c r="AZ621">
        <v>300</v>
      </c>
      <c r="BA621">
        <v>1</v>
      </c>
      <c r="BB621" t="str">
        <f t="shared" si="29"/>
        <v xml:space="preserve">N162AM  </v>
      </c>
      <c r="BC621">
        <v>1</v>
      </c>
      <c r="BE621">
        <v>0</v>
      </c>
      <c r="BF621">
        <v>0</v>
      </c>
      <c r="BG621">
        <v>0</v>
      </c>
      <c r="BH621">
        <v>1875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>"14:45:16.815"</f>
        <v>14:45:16.815</v>
      </c>
      <c r="CJ621">
        <v>3</v>
      </c>
      <c r="CK621">
        <v>2</v>
      </c>
      <c r="CL621">
        <v>0</v>
      </c>
      <c r="CM621">
        <v>2</v>
      </c>
      <c r="CN621">
        <v>0</v>
      </c>
      <c r="CO621">
        <v>5</v>
      </c>
      <c r="CP621" t="s">
        <v>119</v>
      </c>
      <c r="CQ621">
        <v>232</v>
      </c>
      <c r="CR621">
        <v>1</v>
      </c>
      <c r="CW621">
        <v>15067490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1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"12/16/2021 14:45:18.116"</f>
        <v>12/16/2021 14:45:18.116</v>
      </c>
      <c r="C622" t="str">
        <f t="shared" si="28"/>
        <v>FFDFD3C0</v>
      </c>
      <c r="D622" t="s">
        <v>124</v>
      </c>
      <c r="E622">
        <v>10</v>
      </c>
      <c r="F622">
        <v>1010</v>
      </c>
      <c r="G622" t="s">
        <v>130</v>
      </c>
      <c r="J622" t="s">
        <v>125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"14:45:17.883"</f>
        <v>14:45:17.883</v>
      </c>
      <c r="T622" t="str">
        <f>"14:45:17.383"</f>
        <v>14:45:17.383</v>
      </c>
      <c r="U622" t="str">
        <f t="shared" si="27"/>
        <v>A0F928</v>
      </c>
      <c r="V622">
        <v>0</v>
      </c>
      <c r="W622">
        <v>0</v>
      </c>
      <c r="X622">
        <v>2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0</v>
      </c>
      <c r="AG622">
        <v>2</v>
      </c>
      <c r="AH622">
        <v>1</v>
      </c>
      <c r="AI622" t="s">
        <v>431</v>
      </c>
      <c r="AJ622">
        <v>35.809699999999999</v>
      </c>
      <c r="AK622" t="s">
        <v>432</v>
      </c>
      <c r="AL622">
        <v>-83.935074999999998</v>
      </c>
      <c r="AM622">
        <v>25</v>
      </c>
      <c r="AN622">
        <v>1625</v>
      </c>
      <c r="AO622" t="s">
        <v>118</v>
      </c>
      <c r="AP622">
        <v>37</v>
      </c>
      <c r="AQ622">
        <v>-82</v>
      </c>
      <c r="AR622">
        <v>0</v>
      </c>
      <c r="AZ622">
        <v>300</v>
      </c>
      <c r="BA622">
        <v>1</v>
      </c>
      <c r="BB622" t="str">
        <f t="shared" si="29"/>
        <v xml:space="preserve">N162AM  </v>
      </c>
      <c r="BC622">
        <v>1</v>
      </c>
      <c r="BE622">
        <v>0</v>
      </c>
      <c r="BF622">
        <v>0</v>
      </c>
      <c r="BG622">
        <v>0</v>
      </c>
      <c r="BH622">
        <v>1875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>"14:45:17.885"</f>
        <v>14:45:17.885</v>
      </c>
      <c r="CJ622">
        <v>2</v>
      </c>
      <c r="CK622">
        <v>2</v>
      </c>
      <c r="CL622">
        <v>0</v>
      </c>
      <c r="CM622">
        <v>2</v>
      </c>
      <c r="CN622">
        <v>0</v>
      </c>
      <c r="CO622">
        <v>5</v>
      </c>
      <c r="CP622" t="s">
        <v>119</v>
      </c>
      <c r="CQ622">
        <v>232</v>
      </c>
      <c r="CR622">
        <v>2</v>
      </c>
      <c r="CW622">
        <v>6264376</v>
      </c>
      <c r="CY622">
        <v>1</v>
      </c>
      <c r="CZ622">
        <v>0</v>
      </c>
      <c r="DA622">
        <v>0</v>
      </c>
      <c r="DB622">
        <v>0</v>
      </c>
      <c r="DC622">
        <v>0</v>
      </c>
      <c r="DD622">
        <v>1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"12/16/2021 14:45:18.116"</f>
        <v>12/16/2021 14:45:18.116</v>
      </c>
      <c r="C623" t="str">
        <f t="shared" si="28"/>
        <v>FFDFD3C0</v>
      </c>
      <c r="D623" t="s">
        <v>124</v>
      </c>
      <c r="E623">
        <v>5</v>
      </c>
      <c r="F623">
        <v>1005</v>
      </c>
      <c r="G623" t="s">
        <v>114</v>
      </c>
      <c r="J623" t="s">
        <v>125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"14:45:17.883"</f>
        <v>14:45:17.883</v>
      </c>
      <c r="T623" t="str">
        <f>"14:45:17.383"</f>
        <v>14:45:17.383</v>
      </c>
      <c r="U623" t="str">
        <f t="shared" si="27"/>
        <v>A0F928</v>
      </c>
      <c r="V623">
        <v>0</v>
      </c>
      <c r="W623">
        <v>0</v>
      </c>
      <c r="X623">
        <v>2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1</v>
      </c>
      <c r="AI623" t="s">
        <v>431</v>
      </c>
      <c r="AJ623">
        <v>35.809699999999999</v>
      </c>
      <c r="AK623" t="s">
        <v>432</v>
      </c>
      <c r="AL623">
        <v>-83.935074999999998</v>
      </c>
      <c r="AM623">
        <v>25</v>
      </c>
      <c r="AN623">
        <v>1625</v>
      </c>
      <c r="AO623" t="s">
        <v>118</v>
      </c>
      <c r="AP623">
        <v>37</v>
      </c>
      <c r="AQ623">
        <v>-82</v>
      </c>
      <c r="AR623">
        <v>0</v>
      </c>
      <c r="AZ623">
        <v>300</v>
      </c>
      <c r="BA623">
        <v>1</v>
      </c>
      <c r="BB623" t="str">
        <f t="shared" si="29"/>
        <v xml:space="preserve">N162AM  </v>
      </c>
      <c r="BC623">
        <v>1</v>
      </c>
      <c r="BE623">
        <v>0</v>
      </c>
      <c r="BF623">
        <v>0</v>
      </c>
      <c r="BG623">
        <v>0</v>
      </c>
      <c r="BH623">
        <v>1875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>"14:45:17.885"</f>
        <v>14:45:17.885</v>
      </c>
      <c r="CJ623">
        <v>3</v>
      </c>
      <c r="CK623">
        <v>2</v>
      </c>
      <c r="CL623">
        <v>0</v>
      </c>
      <c r="CM623">
        <v>2</v>
      </c>
      <c r="CN623">
        <v>0</v>
      </c>
      <c r="CO623">
        <v>5</v>
      </c>
      <c r="CP623" t="s">
        <v>119</v>
      </c>
      <c r="CQ623">
        <v>232</v>
      </c>
      <c r="CR623">
        <v>2</v>
      </c>
      <c r="CW623">
        <v>6264376</v>
      </c>
      <c r="CY623">
        <v>1</v>
      </c>
      <c r="CZ623">
        <v>0</v>
      </c>
      <c r="DA623">
        <v>1</v>
      </c>
      <c r="DB623">
        <v>0</v>
      </c>
      <c r="DC623">
        <v>0</v>
      </c>
      <c r="DD623">
        <v>1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"12/16/2021 14:45:18.116"</f>
        <v>12/16/2021 14:45:18.116</v>
      </c>
      <c r="C624" t="str">
        <f t="shared" si="28"/>
        <v>FFDFD3C0</v>
      </c>
      <c r="D624" t="s">
        <v>133</v>
      </c>
      <c r="E624">
        <v>44</v>
      </c>
      <c r="H624">
        <v>131</v>
      </c>
      <c r="I624" t="s">
        <v>134</v>
      </c>
      <c r="J624" t="s">
        <v>135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"14:45:17.883"</f>
        <v>14:45:17.883</v>
      </c>
      <c r="T624" t="str">
        <f>"14:45:17.383"</f>
        <v>14:45:17.383</v>
      </c>
      <c r="U624" t="str">
        <f t="shared" si="27"/>
        <v>A0F928</v>
      </c>
      <c r="V624">
        <v>0</v>
      </c>
      <c r="W624">
        <v>0</v>
      </c>
      <c r="X624">
        <v>2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1</v>
      </c>
      <c r="AI624" t="s">
        <v>431</v>
      </c>
      <c r="AJ624">
        <v>35.809699999999999</v>
      </c>
      <c r="AK624" t="s">
        <v>432</v>
      </c>
      <c r="AL624">
        <v>-83.935074999999998</v>
      </c>
      <c r="AM624">
        <v>25</v>
      </c>
      <c r="AN624">
        <v>1625</v>
      </c>
      <c r="AO624" t="s">
        <v>118</v>
      </c>
      <c r="AP624">
        <v>37</v>
      </c>
      <c r="AQ624">
        <v>-82</v>
      </c>
      <c r="AR624">
        <v>0</v>
      </c>
      <c r="AZ624">
        <v>300</v>
      </c>
      <c r="BA624">
        <v>1</v>
      </c>
      <c r="BB624" t="str">
        <f t="shared" si="29"/>
        <v xml:space="preserve">N162AM  </v>
      </c>
      <c r="BC624">
        <v>1</v>
      </c>
      <c r="BE624">
        <v>0</v>
      </c>
      <c r="BF624">
        <v>0</v>
      </c>
      <c r="BG624">
        <v>0</v>
      </c>
      <c r="BH624">
        <v>1875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>"14:45:17.885"</f>
        <v>14:45:17.885</v>
      </c>
      <c r="CJ624">
        <v>3</v>
      </c>
      <c r="CK624">
        <v>2</v>
      </c>
      <c r="CL624">
        <v>0</v>
      </c>
      <c r="CM624">
        <v>2</v>
      </c>
      <c r="CN624">
        <v>0</v>
      </c>
      <c r="CO624">
        <v>5</v>
      </c>
      <c r="CP624" t="s">
        <v>119</v>
      </c>
      <c r="CQ624">
        <v>232</v>
      </c>
      <c r="CR624">
        <v>2</v>
      </c>
      <c r="CW624">
        <v>6264376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1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"12/16/2021 14:45:18.132"</f>
        <v>12/16/2021 14:45:18.132</v>
      </c>
      <c r="C625" t="str">
        <f t="shared" si="28"/>
        <v>FFDFD3C0</v>
      </c>
      <c r="D625" t="s">
        <v>113</v>
      </c>
      <c r="E625">
        <v>8</v>
      </c>
      <c r="H625">
        <v>176</v>
      </c>
      <c r="I625" t="s">
        <v>114</v>
      </c>
      <c r="J625" t="s">
        <v>115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"14:45:17.883"</f>
        <v>14:45:17.883</v>
      </c>
      <c r="T625" t="str">
        <f>"14:45:17.383"</f>
        <v>14:45:17.383</v>
      </c>
      <c r="U625" t="str">
        <f t="shared" si="27"/>
        <v>A0F928</v>
      </c>
      <c r="V625">
        <v>0</v>
      </c>
      <c r="W625">
        <v>0</v>
      </c>
      <c r="X625">
        <v>2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1</v>
      </c>
      <c r="AI625" t="s">
        <v>431</v>
      </c>
      <c r="AJ625">
        <v>35.809699999999999</v>
      </c>
      <c r="AK625" t="s">
        <v>432</v>
      </c>
      <c r="AL625">
        <v>-83.935074999999998</v>
      </c>
      <c r="AM625">
        <v>25</v>
      </c>
      <c r="AN625">
        <v>1625</v>
      </c>
      <c r="AO625" t="s">
        <v>118</v>
      </c>
      <c r="AP625">
        <v>37</v>
      </c>
      <c r="AQ625">
        <v>-82</v>
      </c>
      <c r="AR625">
        <v>0</v>
      </c>
      <c r="AZ625">
        <v>300</v>
      </c>
      <c r="BA625">
        <v>1</v>
      </c>
      <c r="BB625" t="str">
        <f t="shared" si="29"/>
        <v xml:space="preserve">N162AM  </v>
      </c>
      <c r="BC625">
        <v>1</v>
      </c>
      <c r="BE625">
        <v>0</v>
      </c>
      <c r="BF625">
        <v>0</v>
      </c>
      <c r="BG625">
        <v>0</v>
      </c>
      <c r="BH625">
        <v>1875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>"14:45:17.885"</f>
        <v>14:45:17.885</v>
      </c>
      <c r="CJ625">
        <v>3</v>
      </c>
      <c r="CK625">
        <v>2</v>
      </c>
      <c r="CL625">
        <v>0</v>
      </c>
      <c r="CM625">
        <v>2</v>
      </c>
      <c r="CN625">
        <v>0</v>
      </c>
      <c r="CO625">
        <v>5</v>
      </c>
      <c r="CP625" t="s">
        <v>119</v>
      </c>
      <c r="CQ625">
        <v>232</v>
      </c>
      <c r="CR625">
        <v>2</v>
      </c>
      <c r="CW625">
        <v>6264376</v>
      </c>
      <c r="CY625">
        <v>1</v>
      </c>
      <c r="CZ625">
        <v>0</v>
      </c>
      <c r="DA625">
        <v>1</v>
      </c>
      <c r="DB625">
        <v>0</v>
      </c>
      <c r="DC625">
        <v>0</v>
      </c>
      <c r="DD625">
        <v>1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"12/16/2021 14:45:19.117"</f>
        <v>12/16/2021 14:45:19.117</v>
      </c>
      <c r="C626" t="str">
        <f t="shared" si="28"/>
        <v>FFDFD3C0</v>
      </c>
      <c r="D626" t="s">
        <v>113</v>
      </c>
      <c r="E626">
        <v>8</v>
      </c>
      <c r="H626">
        <v>176</v>
      </c>
      <c r="I626" t="s">
        <v>114</v>
      </c>
      <c r="J626" t="s">
        <v>115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"14:45:18.906"</f>
        <v>14:45:18.906</v>
      </c>
      <c r="T626" t="str">
        <f>"14:45:17.906"</f>
        <v>14:45:17.906</v>
      </c>
      <c r="U626" t="str">
        <f t="shared" si="27"/>
        <v>A0F928</v>
      </c>
      <c r="V626">
        <v>0</v>
      </c>
      <c r="W626">
        <v>0</v>
      </c>
      <c r="X626">
        <v>2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1</v>
      </c>
      <c r="AI626" t="s">
        <v>433</v>
      </c>
      <c r="AJ626">
        <v>35.809292999999997</v>
      </c>
      <c r="AK626" t="s">
        <v>434</v>
      </c>
      <c r="AL626">
        <v>-83.934903000000006</v>
      </c>
      <c r="AM626">
        <v>25</v>
      </c>
      <c r="AN626">
        <v>1625</v>
      </c>
      <c r="AO626" t="s">
        <v>118</v>
      </c>
      <c r="AP626">
        <v>34</v>
      </c>
      <c r="AQ626">
        <v>-83</v>
      </c>
      <c r="AR626">
        <v>0</v>
      </c>
      <c r="AZ626">
        <v>300</v>
      </c>
      <c r="BA626">
        <v>1</v>
      </c>
      <c r="BB626" t="str">
        <f t="shared" si="29"/>
        <v xml:space="preserve">N162AM  </v>
      </c>
      <c r="BC626">
        <v>1</v>
      </c>
      <c r="BE626">
        <v>0</v>
      </c>
      <c r="BF626">
        <v>0</v>
      </c>
      <c r="BG626">
        <v>0</v>
      </c>
      <c r="BH626">
        <v>1875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>"14:45:18.907"</f>
        <v>14:45:18.907</v>
      </c>
      <c r="CJ626">
        <v>3</v>
      </c>
      <c r="CK626">
        <v>2</v>
      </c>
      <c r="CL626">
        <v>0</v>
      </c>
      <c r="CM626">
        <v>2</v>
      </c>
      <c r="CN626">
        <v>0</v>
      </c>
      <c r="CO626">
        <v>5</v>
      </c>
      <c r="CP626" t="s">
        <v>119</v>
      </c>
      <c r="CQ626">
        <v>232</v>
      </c>
      <c r="CR626">
        <v>2</v>
      </c>
      <c r="CW626">
        <v>6266058</v>
      </c>
      <c r="CY626">
        <v>1</v>
      </c>
      <c r="CZ626">
        <v>0</v>
      </c>
      <c r="DA626">
        <v>0</v>
      </c>
      <c r="DB626">
        <v>0</v>
      </c>
      <c r="DC626">
        <v>0</v>
      </c>
      <c r="DD626">
        <v>1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"12/16/2021 14:45:19.164"</f>
        <v>12/16/2021 14:45:19.164</v>
      </c>
      <c r="C627" t="str">
        <f t="shared" si="28"/>
        <v>FFDFD3C0</v>
      </c>
      <c r="D627" t="s">
        <v>124</v>
      </c>
      <c r="E627">
        <v>5</v>
      </c>
      <c r="F627">
        <v>1005</v>
      </c>
      <c r="G627" t="s">
        <v>114</v>
      </c>
      <c r="J627" t="s">
        <v>125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"14:45:18.906"</f>
        <v>14:45:18.906</v>
      </c>
      <c r="T627" t="str">
        <f>"14:45:17.906"</f>
        <v>14:45:17.906</v>
      </c>
      <c r="U627" t="str">
        <f t="shared" si="27"/>
        <v>A0F928</v>
      </c>
      <c r="V627">
        <v>0</v>
      </c>
      <c r="W627">
        <v>0</v>
      </c>
      <c r="X627">
        <v>2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1</v>
      </c>
      <c r="AI627" t="s">
        <v>433</v>
      </c>
      <c r="AJ627">
        <v>35.809292999999997</v>
      </c>
      <c r="AK627" t="s">
        <v>434</v>
      </c>
      <c r="AL627">
        <v>-83.934903000000006</v>
      </c>
      <c r="AM627">
        <v>25</v>
      </c>
      <c r="AN627">
        <v>1625</v>
      </c>
      <c r="AO627" t="s">
        <v>118</v>
      </c>
      <c r="AP627">
        <v>34</v>
      </c>
      <c r="AQ627">
        <v>-83</v>
      </c>
      <c r="AR627">
        <v>0</v>
      </c>
      <c r="AZ627">
        <v>300</v>
      </c>
      <c r="BA627">
        <v>1</v>
      </c>
      <c r="BB627" t="str">
        <f t="shared" si="29"/>
        <v xml:space="preserve">N162AM  </v>
      </c>
      <c r="BC627">
        <v>1</v>
      </c>
      <c r="BE627">
        <v>0</v>
      </c>
      <c r="BF627">
        <v>0</v>
      </c>
      <c r="BG627">
        <v>0</v>
      </c>
      <c r="BH627">
        <v>1875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>"14:45:18.907"</f>
        <v>14:45:18.907</v>
      </c>
      <c r="CJ627">
        <v>3</v>
      </c>
      <c r="CK627">
        <v>2</v>
      </c>
      <c r="CL627">
        <v>0</v>
      </c>
      <c r="CM627">
        <v>2</v>
      </c>
      <c r="CN627">
        <v>0</v>
      </c>
      <c r="CO627">
        <v>5</v>
      </c>
      <c r="CP627" t="s">
        <v>119</v>
      </c>
      <c r="CQ627">
        <v>232</v>
      </c>
      <c r="CR627">
        <v>2</v>
      </c>
      <c r="CW627">
        <v>6266058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1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"12/16/2021 14:45:19.164"</f>
        <v>12/16/2021 14:45:19.164</v>
      </c>
      <c r="C628" t="str">
        <f t="shared" si="28"/>
        <v>FFDFD3C0</v>
      </c>
      <c r="D628" t="s">
        <v>124</v>
      </c>
      <c r="E628">
        <v>10</v>
      </c>
      <c r="F628">
        <v>1010</v>
      </c>
      <c r="G628" t="s">
        <v>130</v>
      </c>
      <c r="J628" t="s">
        <v>125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"14:45:18.906"</f>
        <v>14:45:18.906</v>
      </c>
      <c r="T628" t="str">
        <f>"14:45:17.906"</f>
        <v>14:45:17.906</v>
      </c>
      <c r="U628" t="str">
        <f t="shared" si="27"/>
        <v>A0F928</v>
      </c>
      <c r="V628">
        <v>0</v>
      </c>
      <c r="W628">
        <v>0</v>
      </c>
      <c r="X628">
        <v>2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0</v>
      </c>
      <c r="AG628">
        <v>2</v>
      </c>
      <c r="AH628">
        <v>1</v>
      </c>
      <c r="AI628" t="s">
        <v>433</v>
      </c>
      <c r="AJ628">
        <v>35.809292999999997</v>
      </c>
      <c r="AK628" t="s">
        <v>434</v>
      </c>
      <c r="AL628">
        <v>-83.934903000000006</v>
      </c>
      <c r="AM628">
        <v>25</v>
      </c>
      <c r="AN628">
        <v>1625</v>
      </c>
      <c r="AO628" t="s">
        <v>118</v>
      </c>
      <c r="AP628">
        <v>34</v>
      </c>
      <c r="AQ628">
        <v>-83</v>
      </c>
      <c r="AR628">
        <v>0</v>
      </c>
      <c r="AZ628">
        <v>300</v>
      </c>
      <c r="BA628">
        <v>1</v>
      </c>
      <c r="BB628" t="str">
        <f t="shared" si="29"/>
        <v xml:space="preserve">N162AM  </v>
      </c>
      <c r="BC628">
        <v>1</v>
      </c>
      <c r="BE628">
        <v>0</v>
      </c>
      <c r="BF628">
        <v>0</v>
      </c>
      <c r="BG628">
        <v>0</v>
      </c>
      <c r="BH628">
        <v>1875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>"14:45:18.907"</f>
        <v>14:45:18.907</v>
      </c>
      <c r="CJ628">
        <v>2</v>
      </c>
      <c r="CK628">
        <v>2</v>
      </c>
      <c r="CL628">
        <v>0</v>
      </c>
      <c r="CM628">
        <v>2</v>
      </c>
      <c r="CN628">
        <v>0</v>
      </c>
      <c r="CO628">
        <v>5</v>
      </c>
      <c r="CP628" t="s">
        <v>119</v>
      </c>
      <c r="CQ628">
        <v>232</v>
      </c>
      <c r="CR628">
        <v>2</v>
      </c>
      <c r="CW628">
        <v>6266058</v>
      </c>
      <c r="CY628">
        <v>1</v>
      </c>
      <c r="CZ628">
        <v>0</v>
      </c>
      <c r="DA628">
        <v>1</v>
      </c>
      <c r="DB628">
        <v>0</v>
      </c>
      <c r="DC628">
        <v>0</v>
      </c>
      <c r="DD628">
        <v>1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"12/16/2021 14:45:19.164"</f>
        <v>12/16/2021 14:45:19.164</v>
      </c>
      <c r="C629" t="str">
        <f t="shared" si="28"/>
        <v>FFDFD3C0</v>
      </c>
      <c r="D629" t="s">
        <v>133</v>
      </c>
      <c r="E629">
        <v>44</v>
      </c>
      <c r="H629">
        <v>131</v>
      </c>
      <c r="I629" t="s">
        <v>134</v>
      </c>
      <c r="J629" t="s">
        <v>135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"14:45:18.906"</f>
        <v>14:45:18.906</v>
      </c>
      <c r="T629" t="str">
        <f>"14:45:17.906"</f>
        <v>14:45:17.906</v>
      </c>
      <c r="U629" t="str">
        <f t="shared" si="27"/>
        <v>A0F928</v>
      </c>
      <c r="V629">
        <v>0</v>
      </c>
      <c r="W629">
        <v>0</v>
      </c>
      <c r="X629">
        <v>2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1</v>
      </c>
      <c r="AI629" t="s">
        <v>433</v>
      </c>
      <c r="AJ629">
        <v>35.809292999999997</v>
      </c>
      <c r="AK629" t="s">
        <v>434</v>
      </c>
      <c r="AL629">
        <v>-83.934903000000006</v>
      </c>
      <c r="AM629">
        <v>25</v>
      </c>
      <c r="AN629">
        <v>1625</v>
      </c>
      <c r="AO629" t="s">
        <v>118</v>
      </c>
      <c r="AP629">
        <v>34</v>
      </c>
      <c r="AQ629">
        <v>-83</v>
      </c>
      <c r="AR629">
        <v>0</v>
      </c>
      <c r="AZ629">
        <v>300</v>
      </c>
      <c r="BA629">
        <v>1</v>
      </c>
      <c r="BB629" t="str">
        <f t="shared" si="29"/>
        <v xml:space="preserve">N162AM  </v>
      </c>
      <c r="BC629">
        <v>1</v>
      </c>
      <c r="BE629">
        <v>0</v>
      </c>
      <c r="BF629">
        <v>0</v>
      </c>
      <c r="BG629">
        <v>0</v>
      </c>
      <c r="BH629">
        <v>1875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>"14:45:18.907"</f>
        <v>14:45:18.907</v>
      </c>
      <c r="CJ629">
        <v>3</v>
      </c>
      <c r="CK629">
        <v>2</v>
      </c>
      <c r="CL629">
        <v>0</v>
      </c>
      <c r="CM629">
        <v>2</v>
      </c>
      <c r="CN629">
        <v>0</v>
      </c>
      <c r="CO629">
        <v>5</v>
      </c>
      <c r="CP629" t="s">
        <v>119</v>
      </c>
      <c r="CQ629">
        <v>232</v>
      </c>
      <c r="CR629">
        <v>2</v>
      </c>
      <c r="CW629">
        <v>6266058</v>
      </c>
      <c r="CY629">
        <v>1</v>
      </c>
      <c r="CZ629">
        <v>0</v>
      </c>
      <c r="DA629">
        <v>1</v>
      </c>
      <c r="DB629">
        <v>0</v>
      </c>
      <c r="DC629">
        <v>0</v>
      </c>
      <c r="DD629">
        <v>1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"12/16/2021 14:45:20.334"</f>
        <v>12/16/2021 14:45:20.334</v>
      </c>
      <c r="C630" t="str">
        <f t="shared" si="28"/>
        <v>FFDFD3C0</v>
      </c>
      <c r="D630" t="s">
        <v>133</v>
      </c>
      <c r="E630">
        <v>44</v>
      </c>
      <c r="H630">
        <v>131</v>
      </c>
      <c r="I630" t="s">
        <v>134</v>
      </c>
      <c r="J630" t="s">
        <v>135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"14:45:20.086"</f>
        <v>14:45:20.086</v>
      </c>
      <c r="T630" t="str">
        <f>"14:45:19.586"</f>
        <v>14:45:19.586</v>
      </c>
      <c r="U630" t="str">
        <f t="shared" si="27"/>
        <v>A0F928</v>
      </c>
      <c r="V630">
        <v>0</v>
      </c>
      <c r="W630">
        <v>0</v>
      </c>
      <c r="X630">
        <v>2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1</v>
      </c>
      <c r="AI630" t="s">
        <v>366</v>
      </c>
      <c r="AJ630">
        <v>35.808821000000002</v>
      </c>
      <c r="AK630" t="s">
        <v>435</v>
      </c>
      <c r="AL630">
        <v>-83.934730999999999</v>
      </c>
      <c r="AM630">
        <v>25</v>
      </c>
      <c r="AN630">
        <v>1625</v>
      </c>
      <c r="AO630" t="s">
        <v>118</v>
      </c>
      <c r="AP630">
        <v>25</v>
      </c>
      <c r="AQ630">
        <v>-86</v>
      </c>
      <c r="AR630">
        <v>64</v>
      </c>
      <c r="AZ630">
        <v>300</v>
      </c>
      <c r="BA630">
        <v>1</v>
      </c>
      <c r="BB630" t="str">
        <f t="shared" si="29"/>
        <v xml:space="preserve">N162AM  </v>
      </c>
      <c r="BC630">
        <v>1</v>
      </c>
      <c r="BE630">
        <v>0</v>
      </c>
      <c r="BF630">
        <v>0</v>
      </c>
      <c r="BG630">
        <v>0</v>
      </c>
      <c r="BH630">
        <v>1875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>"14:45:20.090"</f>
        <v>14:45:20.090</v>
      </c>
      <c r="CJ630">
        <v>3</v>
      </c>
      <c r="CK630">
        <v>2</v>
      </c>
      <c r="CL630">
        <v>0</v>
      </c>
      <c r="CM630">
        <v>2</v>
      </c>
      <c r="CN630">
        <v>0</v>
      </c>
      <c r="CO630">
        <v>6</v>
      </c>
      <c r="CP630" t="s">
        <v>119</v>
      </c>
      <c r="CQ630">
        <v>232</v>
      </c>
      <c r="CR630">
        <v>1</v>
      </c>
      <c r="CW630">
        <v>15072710</v>
      </c>
      <c r="CY630">
        <v>1</v>
      </c>
      <c r="CZ630">
        <v>0</v>
      </c>
      <c r="DA630">
        <v>0</v>
      </c>
      <c r="DB630">
        <v>0</v>
      </c>
      <c r="DC630">
        <v>0</v>
      </c>
      <c r="DD630">
        <v>1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"12/16/2021 14:45:20.334"</f>
        <v>12/16/2021 14:45:20.334</v>
      </c>
      <c r="C631" t="str">
        <f t="shared" si="28"/>
        <v>FFDFD3C0</v>
      </c>
      <c r="D631" t="s">
        <v>113</v>
      </c>
      <c r="E631">
        <v>8</v>
      </c>
      <c r="H631">
        <v>176</v>
      </c>
      <c r="I631" t="s">
        <v>114</v>
      </c>
      <c r="J631" t="s">
        <v>115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"14:45:20.086"</f>
        <v>14:45:20.086</v>
      </c>
      <c r="T631" t="str">
        <f>"14:45:19.586"</f>
        <v>14:45:19.586</v>
      </c>
      <c r="U631" t="str">
        <f t="shared" si="27"/>
        <v>A0F928</v>
      </c>
      <c r="V631">
        <v>0</v>
      </c>
      <c r="W631">
        <v>0</v>
      </c>
      <c r="X631">
        <v>2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1</v>
      </c>
      <c r="AI631" t="s">
        <v>366</v>
      </c>
      <c r="AJ631">
        <v>35.808821000000002</v>
      </c>
      <c r="AK631" t="s">
        <v>435</v>
      </c>
      <c r="AL631">
        <v>-83.934730999999999</v>
      </c>
      <c r="AM631">
        <v>25</v>
      </c>
      <c r="AN631">
        <v>1625</v>
      </c>
      <c r="AO631" t="s">
        <v>118</v>
      </c>
      <c r="AP631">
        <v>25</v>
      </c>
      <c r="AQ631">
        <v>-86</v>
      </c>
      <c r="AR631">
        <v>64</v>
      </c>
      <c r="AZ631">
        <v>300</v>
      </c>
      <c r="BA631">
        <v>1</v>
      </c>
      <c r="BB631" t="str">
        <f t="shared" si="29"/>
        <v xml:space="preserve">N162AM  </v>
      </c>
      <c r="BC631">
        <v>1</v>
      </c>
      <c r="BE631">
        <v>0</v>
      </c>
      <c r="BF631">
        <v>0</v>
      </c>
      <c r="BG631">
        <v>0</v>
      </c>
      <c r="BH631">
        <v>1875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>"14:45:20.090"</f>
        <v>14:45:20.090</v>
      </c>
      <c r="CJ631">
        <v>3</v>
      </c>
      <c r="CK631">
        <v>2</v>
      </c>
      <c r="CL631">
        <v>0</v>
      </c>
      <c r="CM631">
        <v>2</v>
      </c>
      <c r="CN631">
        <v>0</v>
      </c>
      <c r="CO631">
        <v>6</v>
      </c>
      <c r="CP631" t="s">
        <v>119</v>
      </c>
      <c r="CQ631">
        <v>232</v>
      </c>
      <c r="CR631">
        <v>1</v>
      </c>
      <c r="CW631">
        <v>15072710</v>
      </c>
      <c r="CY631">
        <v>1</v>
      </c>
      <c r="CZ631">
        <v>0</v>
      </c>
      <c r="DA631">
        <v>1</v>
      </c>
      <c r="DB631">
        <v>0</v>
      </c>
      <c r="DC631">
        <v>0</v>
      </c>
      <c r="DD631">
        <v>1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"12/16/2021 14:45:20.349"</f>
        <v>12/16/2021 14:45:20.349</v>
      </c>
      <c r="C632" t="str">
        <f t="shared" si="28"/>
        <v>FFDFD3C0</v>
      </c>
      <c r="D632" t="s">
        <v>124</v>
      </c>
      <c r="E632">
        <v>5</v>
      </c>
      <c r="F632">
        <v>1005</v>
      </c>
      <c r="G632" t="s">
        <v>114</v>
      </c>
      <c r="J632" t="s">
        <v>125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"14:45:20.086"</f>
        <v>14:45:20.086</v>
      </c>
      <c r="T632" t="str">
        <f>"14:45:19.586"</f>
        <v>14:45:19.586</v>
      </c>
      <c r="U632" t="str">
        <f t="shared" si="27"/>
        <v>A0F928</v>
      </c>
      <c r="V632">
        <v>0</v>
      </c>
      <c r="W632">
        <v>0</v>
      </c>
      <c r="X632">
        <v>2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1</v>
      </c>
      <c r="AI632" t="s">
        <v>366</v>
      </c>
      <c r="AJ632">
        <v>35.808821000000002</v>
      </c>
      <c r="AK632" t="s">
        <v>435</v>
      </c>
      <c r="AL632">
        <v>-83.934730999999999</v>
      </c>
      <c r="AM632">
        <v>25</v>
      </c>
      <c r="AN632">
        <v>1625</v>
      </c>
      <c r="AO632" t="s">
        <v>118</v>
      </c>
      <c r="AP632">
        <v>25</v>
      </c>
      <c r="AQ632">
        <v>-86</v>
      </c>
      <c r="AR632">
        <v>64</v>
      </c>
      <c r="AZ632">
        <v>300</v>
      </c>
      <c r="BA632">
        <v>1</v>
      </c>
      <c r="BB632" t="str">
        <f t="shared" si="29"/>
        <v xml:space="preserve">N162AM  </v>
      </c>
      <c r="BC632">
        <v>1</v>
      </c>
      <c r="BE632">
        <v>0</v>
      </c>
      <c r="BF632">
        <v>0</v>
      </c>
      <c r="BG632">
        <v>0</v>
      </c>
      <c r="BH632">
        <v>1875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>"14:45:20.090"</f>
        <v>14:45:20.090</v>
      </c>
      <c r="CJ632">
        <v>3</v>
      </c>
      <c r="CK632">
        <v>2</v>
      </c>
      <c r="CL632">
        <v>0</v>
      </c>
      <c r="CM632">
        <v>2</v>
      </c>
      <c r="CN632">
        <v>0</v>
      </c>
      <c r="CO632">
        <v>6</v>
      </c>
      <c r="CP632" t="s">
        <v>119</v>
      </c>
      <c r="CQ632">
        <v>232</v>
      </c>
      <c r="CR632">
        <v>1</v>
      </c>
      <c r="CW632">
        <v>15072710</v>
      </c>
      <c r="CY632">
        <v>1</v>
      </c>
      <c r="CZ632">
        <v>0</v>
      </c>
      <c r="DA632">
        <v>1</v>
      </c>
      <c r="DB632">
        <v>0</v>
      </c>
      <c r="DC632">
        <v>0</v>
      </c>
      <c r="DD632">
        <v>1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"12/16/2021 14:45:20.349"</f>
        <v>12/16/2021 14:45:20.349</v>
      </c>
      <c r="C633" t="str">
        <f t="shared" si="28"/>
        <v>FFDFD3C0</v>
      </c>
      <c r="D633" t="s">
        <v>124</v>
      </c>
      <c r="E633">
        <v>10</v>
      </c>
      <c r="F633">
        <v>1010</v>
      </c>
      <c r="G633" t="s">
        <v>130</v>
      </c>
      <c r="J633" t="s">
        <v>125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"14:45:20.086"</f>
        <v>14:45:20.086</v>
      </c>
      <c r="T633" t="str">
        <f>"14:45:19.586"</f>
        <v>14:45:19.586</v>
      </c>
      <c r="U633" t="str">
        <f t="shared" si="27"/>
        <v>A0F928</v>
      </c>
      <c r="V633">
        <v>0</v>
      </c>
      <c r="W633">
        <v>0</v>
      </c>
      <c r="X633">
        <v>2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0</v>
      </c>
      <c r="AG633">
        <v>2</v>
      </c>
      <c r="AH633">
        <v>1</v>
      </c>
      <c r="AI633" t="s">
        <v>366</v>
      </c>
      <c r="AJ633">
        <v>35.808821000000002</v>
      </c>
      <c r="AK633" t="s">
        <v>435</v>
      </c>
      <c r="AL633">
        <v>-83.934730999999999</v>
      </c>
      <c r="AM633">
        <v>25</v>
      </c>
      <c r="AN633">
        <v>1625</v>
      </c>
      <c r="AO633" t="s">
        <v>118</v>
      </c>
      <c r="AP633">
        <v>25</v>
      </c>
      <c r="AQ633">
        <v>-86</v>
      </c>
      <c r="AR633">
        <v>64</v>
      </c>
      <c r="AZ633">
        <v>300</v>
      </c>
      <c r="BA633">
        <v>1</v>
      </c>
      <c r="BB633" t="str">
        <f t="shared" si="29"/>
        <v xml:space="preserve">N162AM  </v>
      </c>
      <c r="BC633">
        <v>1</v>
      </c>
      <c r="BE633">
        <v>0</v>
      </c>
      <c r="BF633">
        <v>0</v>
      </c>
      <c r="BG633">
        <v>0</v>
      </c>
      <c r="BH633">
        <v>1875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>"14:45:20.090"</f>
        <v>14:45:20.090</v>
      </c>
      <c r="CJ633">
        <v>2</v>
      </c>
      <c r="CK633">
        <v>2</v>
      </c>
      <c r="CL633">
        <v>0</v>
      </c>
      <c r="CM633">
        <v>2</v>
      </c>
      <c r="CN633">
        <v>0</v>
      </c>
      <c r="CO633">
        <v>6</v>
      </c>
      <c r="CP633" t="s">
        <v>119</v>
      </c>
      <c r="CQ633">
        <v>232</v>
      </c>
      <c r="CR633">
        <v>1</v>
      </c>
      <c r="CW633">
        <v>15072710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1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"12/16/2021 14:45:21.349"</f>
        <v>12/16/2021 14:45:21.349</v>
      </c>
      <c r="C634" t="str">
        <f t="shared" si="28"/>
        <v>FFDFD3C0</v>
      </c>
      <c r="D634" t="s">
        <v>113</v>
      </c>
      <c r="E634">
        <v>8</v>
      </c>
      <c r="H634">
        <v>176</v>
      </c>
      <c r="I634" t="s">
        <v>114</v>
      </c>
      <c r="J634" t="s">
        <v>115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"14:45:21.094"</f>
        <v>14:45:21.094</v>
      </c>
      <c r="T634" t="str">
        <f>"14:45:20.594"</f>
        <v>14:45:20.594</v>
      </c>
      <c r="U634" t="str">
        <f t="shared" si="27"/>
        <v>A0F928</v>
      </c>
      <c r="V634">
        <v>0</v>
      </c>
      <c r="W634">
        <v>0</v>
      </c>
      <c r="X634">
        <v>2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1</v>
      </c>
      <c r="AI634" t="s">
        <v>436</v>
      </c>
      <c r="AJ634">
        <v>35.808391999999998</v>
      </c>
      <c r="AK634" t="s">
        <v>437</v>
      </c>
      <c r="AL634">
        <v>-83.934602999999996</v>
      </c>
      <c r="AM634">
        <v>25</v>
      </c>
      <c r="AN634">
        <v>1625</v>
      </c>
      <c r="AO634" t="s">
        <v>118</v>
      </c>
      <c r="AP634">
        <v>20</v>
      </c>
      <c r="AQ634">
        <v>-87</v>
      </c>
      <c r="AR634">
        <v>64</v>
      </c>
      <c r="AZ634">
        <v>300</v>
      </c>
      <c r="BA634">
        <v>1</v>
      </c>
      <c r="BB634" t="str">
        <f t="shared" si="29"/>
        <v xml:space="preserve">N162AM  </v>
      </c>
      <c r="BC634">
        <v>1</v>
      </c>
      <c r="BE634">
        <v>0</v>
      </c>
      <c r="BF634">
        <v>0</v>
      </c>
      <c r="BG634">
        <v>0</v>
      </c>
      <c r="BH634">
        <v>1900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>"14:45:21.099"</f>
        <v>14:45:21.099</v>
      </c>
      <c r="CJ634">
        <v>3</v>
      </c>
      <c r="CK634">
        <v>2</v>
      </c>
      <c r="CL634">
        <v>0</v>
      </c>
      <c r="CM634">
        <v>2</v>
      </c>
      <c r="CN634">
        <v>0</v>
      </c>
      <c r="CO634">
        <v>6</v>
      </c>
      <c r="CP634" t="s">
        <v>119</v>
      </c>
      <c r="CQ634">
        <v>232</v>
      </c>
      <c r="CR634">
        <v>1</v>
      </c>
      <c r="CW634">
        <v>15074197</v>
      </c>
      <c r="CY634">
        <v>1</v>
      </c>
      <c r="CZ634">
        <v>0</v>
      </c>
      <c r="DA634">
        <v>0</v>
      </c>
      <c r="DB634">
        <v>0</v>
      </c>
      <c r="DC634">
        <v>0</v>
      </c>
      <c r="DD634">
        <v>1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"12/16/2021 14:45:21.349"</f>
        <v>12/16/2021 14:45:21.349</v>
      </c>
      <c r="C635" t="str">
        <f t="shared" si="28"/>
        <v>FFDFD3C0</v>
      </c>
      <c r="D635" t="s">
        <v>133</v>
      </c>
      <c r="E635">
        <v>44</v>
      </c>
      <c r="H635">
        <v>131</v>
      </c>
      <c r="I635" t="s">
        <v>134</v>
      </c>
      <c r="J635" t="s">
        <v>135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"14:45:21.094"</f>
        <v>14:45:21.094</v>
      </c>
      <c r="T635" t="str">
        <f>"14:45:20.594"</f>
        <v>14:45:20.594</v>
      </c>
      <c r="U635" t="str">
        <f t="shared" si="27"/>
        <v>A0F928</v>
      </c>
      <c r="V635">
        <v>0</v>
      </c>
      <c r="W635">
        <v>0</v>
      </c>
      <c r="X635">
        <v>2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1</v>
      </c>
      <c r="AI635" t="s">
        <v>436</v>
      </c>
      <c r="AJ635">
        <v>35.808391999999998</v>
      </c>
      <c r="AK635" t="s">
        <v>437</v>
      </c>
      <c r="AL635">
        <v>-83.934602999999996</v>
      </c>
      <c r="AM635">
        <v>25</v>
      </c>
      <c r="AN635">
        <v>1625</v>
      </c>
      <c r="AO635" t="s">
        <v>118</v>
      </c>
      <c r="AP635">
        <v>20</v>
      </c>
      <c r="AQ635">
        <v>-87</v>
      </c>
      <c r="AR635">
        <v>64</v>
      </c>
      <c r="AZ635">
        <v>300</v>
      </c>
      <c r="BA635">
        <v>1</v>
      </c>
      <c r="BB635" t="str">
        <f t="shared" si="29"/>
        <v xml:space="preserve">N162AM  </v>
      </c>
      <c r="BC635">
        <v>1</v>
      </c>
      <c r="BE635">
        <v>0</v>
      </c>
      <c r="BF635">
        <v>0</v>
      </c>
      <c r="BG635">
        <v>0</v>
      </c>
      <c r="BH635">
        <v>1900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>"14:45:21.099"</f>
        <v>14:45:21.099</v>
      </c>
      <c r="CJ635">
        <v>3</v>
      </c>
      <c r="CK635">
        <v>2</v>
      </c>
      <c r="CL635">
        <v>0</v>
      </c>
      <c r="CM635">
        <v>2</v>
      </c>
      <c r="CN635">
        <v>0</v>
      </c>
      <c r="CO635">
        <v>6</v>
      </c>
      <c r="CP635" t="s">
        <v>119</v>
      </c>
      <c r="CQ635">
        <v>232</v>
      </c>
      <c r="CR635">
        <v>1</v>
      </c>
      <c r="CW635">
        <v>15074197</v>
      </c>
      <c r="CY635">
        <v>1</v>
      </c>
      <c r="CZ635">
        <v>0</v>
      </c>
      <c r="DA635">
        <v>1</v>
      </c>
      <c r="DB635">
        <v>0</v>
      </c>
      <c r="DC635">
        <v>0</v>
      </c>
      <c r="DD635">
        <v>1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"12/16/2021 14:45:21.349"</f>
        <v>12/16/2021 14:45:21.349</v>
      </c>
      <c r="C636" t="str">
        <f t="shared" si="28"/>
        <v>FFDFD3C0</v>
      </c>
      <c r="D636" t="s">
        <v>124</v>
      </c>
      <c r="E636">
        <v>5</v>
      </c>
      <c r="F636">
        <v>1005</v>
      </c>
      <c r="G636" t="s">
        <v>114</v>
      </c>
      <c r="J636" t="s">
        <v>125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"14:45:21.094"</f>
        <v>14:45:21.094</v>
      </c>
      <c r="T636" t="str">
        <f>"14:45:20.594"</f>
        <v>14:45:20.594</v>
      </c>
      <c r="U636" t="str">
        <f t="shared" si="27"/>
        <v>A0F928</v>
      </c>
      <c r="V636">
        <v>0</v>
      </c>
      <c r="W636">
        <v>0</v>
      </c>
      <c r="X636">
        <v>2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1</v>
      </c>
      <c r="AI636" t="s">
        <v>436</v>
      </c>
      <c r="AJ636">
        <v>35.808391999999998</v>
      </c>
      <c r="AK636" t="s">
        <v>437</v>
      </c>
      <c r="AL636">
        <v>-83.934602999999996</v>
      </c>
      <c r="AM636">
        <v>25</v>
      </c>
      <c r="AN636">
        <v>1625</v>
      </c>
      <c r="AO636" t="s">
        <v>118</v>
      </c>
      <c r="AP636">
        <v>20</v>
      </c>
      <c r="AQ636">
        <v>-87</v>
      </c>
      <c r="AR636">
        <v>64</v>
      </c>
      <c r="AZ636">
        <v>300</v>
      </c>
      <c r="BA636">
        <v>1</v>
      </c>
      <c r="BB636" t="str">
        <f t="shared" si="29"/>
        <v xml:space="preserve">N162AM  </v>
      </c>
      <c r="BC636">
        <v>1</v>
      </c>
      <c r="BE636">
        <v>0</v>
      </c>
      <c r="BF636">
        <v>0</v>
      </c>
      <c r="BG636">
        <v>0</v>
      </c>
      <c r="BH636">
        <v>1900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>"14:45:21.099"</f>
        <v>14:45:21.099</v>
      </c>
      <c r="CJ636">
        <v>3</v>
      </c>
      <c r="CK636">
        <v>2</v>
      </c>
      <c r="CL636">
        <v>0</v>
      </c>
      <c r="CM636">
        <v>2</v>
      </c>
      <c r="CN636">
        <v>0</v>
      </c>
      <c r="CO636">
        <v>6</v>
      </c>
      <c r="CP636" t="s">
        <v>119</v>
      </c>
      <c r="CQ636">
        <v>232</v>
      </c>
      <c r="CR636">
        <v>1</v>
      </c>
      <c r="CW636">
        <v>15074197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1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"12/16/2021 14:45:21.349"</f>
        <v>12/16/2021 14:45:21.349</v>
      </c>
      <c r="C637" t="str">
        <f t="shared" si="28"/>
        <v>FFDFD3C0</v>
      </c>
      <c r="D637" t="s">
        <v>124</v>
      </c>
      <c r="E637">
        <v>10</v>
      </c>
      <c r="F637">
        <v>1010</v>
      </c>
      <c r="G637" t="s">
        <v>130</v>
      </c>
      <c r="J637" t="s">
        <v>125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"14:45:21.094"</f>
        <v>14:45:21.094</v>
      </c>
      <c r="T637" t="str">
        <f>"14:45:20.594"</f>
        <v>14:45:20.594</v>
      </c>
      <c r="U637" t="str">
        <f t="shared" si="27"/>
        <v>A0F928</v>
      </c>
      <c r="V637">
        <v>0</v>
      </c>
      <c r="W637">
        <v>0</v>
      </c>
      <c r="X637">
        <v>2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0</v>
      </c>
      <c r="AG637">
        <v>2</v>
      </c>
      <c r="AH637">
        <v>1</v>
      </c>
      <c r="AI637" t="s">
        <v>436</v>
      </c>
      <c r="AJ637">
        <v>35.808391999999998</v>
      </c>
      <c r="AK637" t="s">
        <v>437</v>
      </c>
      <c r="AL637">
        <v>-83.934602999999996</v>
      </c>
      <c r="AM637">
        <v>25</v>
      </c>
      <c r="AN637">
        <v>1625</v>
      </c>
      <c r="AO637" t="s">
        <v>118</v>
      </c>
      <c r="AP637">
        <v>20</v>
      </c>
      <c r="AQ637">
        <v>-87</v>
      </c>
      <c r="AR637">
        <v>64</v>
      </c>
      <c r="AZ637">
        <v>300</v>
      </c>
      <c r="BA637">
        <v>1</v>
      </c>
      <c r="BB637" t="str">
        <f t="shared" si="29"/>
        <v xml:space="preserve">N162AM  </v>
      </c>
      <c r="BC637">
        <v>1</v>
      </c>
      <c r="BE637">
        <v>0</v>
      </c>
      <c r="BF637">
        <v>0</v>
      </c>
      <c r="BG637">
        <v>0</v>
      </c>
      <c r="BH637">
        <v>1900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>"14:45:21.099"</f>
        <v>14:45:21.099</v>
      </c>
      <c r="CJ637">
        <v>2</v>
      </c>
      <c r="CK637">
        <v>2</v>
      </c>
      <c r="CL637">
        <v>0</v>
      </c>
      <c r="CM637">
        <v>2</v>
      </c>
      <c r="CN637">
        <v>0</v>
      </c>
      <c r="CO637">
        <v>6</v>
      </c>
      <c r="CP637" t="s">
        <v>119</v>
      </c>
      <c r="CQ637">
        <v>232</v>
      </c>
      <c r="CR637">
        <v>1</v>
      </c>
      <c r="CW637">
        <v>15074197</v>
      </c>
      <c r="CY637">
        <v>1</v>
      </c>
      <c r="CZ637">
        <v>0</v>
      </c>
      <c r="DA637">
        <v>1</v>
      </c>
      <c r="DB637">
        <v>0</v>
      </c>
      <c r="DC637">
        <v>0</v>
      </c>
      <c r="DD637">
        <v>1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"12/16/2021 14:45:22.474"</f>
        <v>12/16/2021 14:45:22.474</v>
      </c>
      <c r="C638" t="str">
        <f t="shared" si="28"/>
        <v>FFDFD3C0</v>
      </c>
      <c r="D638" t="s">
        <v>113</v>
      </c>
      <c r="E638">
        <v>8</v>
      </c>
      <c r="H638">
        <v>176</v>
      </c>
      <c r="I638" t="s">
        <v>114</v>
      </c>
      <c r="J638" t="s">
        <v>115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"14:45:22.234"</f>
        <v>14:45:22.234</v>
      </c>
      <c r="T638" t="str">
        <f>"14:45:21.734"</f>
        <v>14:45:21.734</v>
      </c>
      <c r="U638" t="str">
        <f t="shared" si="27"/>
        <v>A0F928</v>
      </c>
      <c r="V638">
        <v>0</v>
      </c>
      <c r="W638">
        <v>0</v>
      </c>
      <c r="X638">
        <v>2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1</v>
      </c>
      <c r="AI638" t="s">
        <v>438</v>
      </c>
      <c r="AJ638">
        <v>35.807962000000003</v>
      </c>
      <c r="AK638" t="s">
        <v>439</v>
      </c>
      <c r="AL638">
        <v>-83.934517</v>
      </c>
      <c r="AM638">
        <v>25</v>
      </c>
      <c r="AN638">
        <v>1625</v>
      </c>
      <c r="AO638" t="s">
        <v>118</v>
      </c>
      <c r="AP638">
        <v>14</v>
      </c>
      <c r="AQ638">
        <v>-87</v>
      </c>
      <c r="AR638">
        <v>128</v>
      </c>
      <c r="AZ638">
        <v>300</v>
      </c>
      <c r="BA638">
        <v>1</v>
      </c>
      <c r="BB638" t="str">
        <f t="shared" si="29"/>
        <v xml:space="preserve">N162AM  </v>
      </c>
      <c r="BC638">
        <v>1</v>
      </c>
      <c r="BE638">
        <v>0</v>
      </c>
      <c r="BF638">
        <v>0</v>
      </c>
      <c r="BG638">
        <v>0</v>
      </c>
      <c r="BH638">
        <v>1900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>"14:45:22.240"</f>
        <v>14:45:22.240</v>
      </c>
      <c r="CJ638">
        <v>3</v>
      </c>
      <c r="CK638">
        <v>2</v>
      </c>
      <c r="CL638">
        <v>0</v>
      </c>
      <c r="CM638">
        <v>2</v>
      </c>
      <c r="CN638">
        <v>0</v>
      </c>
      <c r="CO638">
        <v>5</v>
      </c>
      <c r="CP638" t="s">
        <v>119</v>
      </c>
      <c r="CQ638">
        <v>232</v>
      </c>
      <c r="CR638">
        <v>1</v>
      </c>
      <c r="CW638">
        <v>15075964</v>
      </c>
      <c r="CY638">
        <v>1</v>
      </c>
      <c r="CZ638">
        <v>0</v>
      </c>
      <c r="DA638">
        <v>0</v>
      </c>
      <c r="DB638">
        <v>0</v>
      </c>
      <c r="DC638">
        <v>0</v>
      </c>
      <c r="DD638">
        <v>1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"12/16/2021 14:45:22.474"</f>
        <v>12/16/2021 14:45:22.474</v>
      </c>
      <c r="C639" t="str">
        <f t="shared" si="28"/>
        <v>FFDFD3C0</v>
      </c>
      <c r="D639" t="s">
        <v>133</v>
      </c>
      <c r="E639">
        <v>44</v>
      </c>
      <c r="H639">
        <v>131</v>
      </c>
      <c r="I639" t="s">
        <v>134</v>
      </c>
      <c r="J639" t="s">
        <v>135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"14:45:22.234"</f>
        <v>14:45:22.234</v>
      </c>
      <c r="T639" t="str">
        <f>"14:45:21.734"</f>
        <v>14:45:21.734</v>
      </c>
      <c r="U639" t="str">
        <f t="shared" si="27"/>
        <v>A0F928</v>
      </c>
      <c r="V639">
        <v>0</v>
      </c>
      <c r="W639">
        <v>0</v>
      </c>
      <c r="X639">
        <v>2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1</v>
      </c>
      <c r="AI639" t="s">
        <v>438</v>
      </c>
      <c r="AJ639">
        <v>35.807962000000003</v>
      </c>
      <c r="AK639" t="s">
        <v>439</v>
      </c>
      <c r="AL639">
        <v>-83.934517</v>
      </c>
      <c r="AM639">
        <v>25</v>
      </c>
      <c r="AN639">
        <v>1625</v>
      </c>
      <c r="AO639" t="s">
        <v>118</v>
      </c>
      <c r="AP639">
        <v>14</v>
      </c>
      <c r="AQ639">
        <v>-87</v>
      </c>
      <c r="AR639">
        <v>128</v>
      </c>
      <c r="AZ639">
        <v>300</v>
      </c>
      <c r="BA639">
        <v>1</v>
      </c>
      <c r="BB639" t="str">
        <f t="shared" si="29"/>
        <v xml:space="preserve">N162AM  </v>
      </c>
      <c r="BC639">
        <v>1</v>
      </c>
      <c r="BE639">
        <v>0</v>
      </c>
      <c r="BF639">
        <v>0</v>
      </c>
      <c r="BG639">
        <v>0</v>
      </c>
      <c r="BH639">
        <v>1900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>"14:45:22.240"</f>
        <v>14:45:22.240</v>
      </c>
      <c r="CJ639">
        <v>3</v>
      </c>
      <c r="CK639">
        <v>2</v>
      </c>
      <c r="CL639">
        <v>0</v>
      </c>
      <c r="CM639">
        <v>2</v>
      </c>
      <c r="CN639">
        <v>0</v>
      </c>
      <c r="CO639">
        <v>5</v>
      </c>
      <c r="CP639" t="s">
        <v>119</v>
      </c>
      <c r="CQ639">
        <v>232</v>
      </c>
      <c r="CR639">
        <v>1</v>
      </c>
      <c r="CW639">
        <v>15075964</v>
      </c>
      <c r="CY639">
        <v>1</v>
      </c>
      <c r="CZ639">
        <v>0</v>
      </c>
      <c r="DA639">
        <v>1</v>
      </c>
      <c r="DB639">
        <v>0</v>
      </c>
      <c r="DC639">
        <v>0</v>
      </c>
      <c r="DD639">
        <v>1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"12/16/2021 14:45:22.474"</f>
        <v>12/16/2021 14:45:22.474</v>
      </c>
      <c r="C640" t="str">
        <f t="shared" si="28"/>
        <v>FFDFD3C0</v>
      </c>
      <c r="D640" t="s">
        <v>124</v>
      </c>
      <c r="E640">
        <v>10</v>
      </c>
      <c r="F640">
        <v>1010</v>
      </c>
      <c r="G640" t="s">
        <v>130</v>
      </c>
      <c r="J640" t="s">
        <v>125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"14:45:22.234"</f>
        <v>14:45:22.234</v>
      </c>
      <c r="T640" t="str">
        <f>"14:45:21.734"</f>
        <v>14:45:21.734</v>
      </c>
      <c r="U640" t="str">
        <f t="shared" si="27"/>
        <v>A0F928</v>
      </c>
      <c r="V640">
        <v>0</v>
      </c>
      <c r="W640">
        <v>0</v>
      </c>
      <c r="X640">
        <v>2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0</v>
      </c>
      <c r="AG640">
        <v>2</v>
      </c>
      <c r="AH640">
        <v>1</v>
      </c>
      <c r="AI640" t="s">
        <v>438</v>
      </c>
      <c r="AJ640">
        <v>35.807962000000003</v>
      </c>
      <c r="AK640" t="s">
        <v>439</v>
      </c>
      <c r="AL640">
        <v>-83.934517</v>
      </c>
      <c r="AM640">
        <v>25</v>
      </c>
      <c r="AN640">
        <v>1625</v>
      </c>
      <c r="AO640" t="s">
        <v>118</v>
      </c>
      <c r="AP640">
        <v>14</v>
      </c>
      <c r="AQ640">
        <v>-87</v>
      </c>
      <c r="AR640">
        <v>128</v>
      </c>
      <c r="AZ640">
        <v>300</v>
      </c>
      <c r="BA640">
        <v>1</v>
      </c>
      <c r="BB640" t="str">
        <f t="shared" si="29"/>
        <v xml:space="preserve">N162AM  </v>
      </c>
      <c r="BC640">
        <v>1</v>
      </c>
      <c r="BE640">
        <v>0</v>
      </c>
      <c r="BF640">
        <v>0</v>
      </c>
      <c r="BG640">
        <v>0</v>
      </c>
      <c r="BH640">
        <v>1900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>"14:45:22.240"</f>
        <v>14:45:22.240</v>
      </c>
      <c r="CJ640">
        <v>2</v>
      </c>
      <c r="CK640">
        <v>2</v>
      </c>
      <c r="CL640">
        <v>0</v>
      </c>
      <c r="CM640">
        <v>2</v>
      </c>
      <c r="CN640">
        <v>0</v>
      </c>
      <c r="CO640">
        <v>5</v>
      </c>
      <c r="CP640" t="s">
        <v>119</v>
      </c>
      <c r="CQ640">
        <v>232</v>
      </c>
      <c r="CR640">
        <v>1</v>
      </c>
      <c r="CW640">
        <v>15075964</v>
      </c>
      <c r="CY640">
        <v>1</v>
      </c>
      <c r="CZ640">
        <v>0</v>
      </c>
      <c r="DA640">
        <v>1</v>
      </c>
      <c r="DB640">
        <v>0</v>
      </c>
      <c r="DC640">
        <v>0</v>
      </c>
      <c r="DD640">
        <v>1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"12/16/2021 14:45:22.474"</f>
        <v>12/16/2021 14:45:22.474</v>
      </c>
      <c r="C641" t="str">
        <f t="shared" si="28"/>
        <v>FFDFD3C0</v>
      </c>
      <c r="D641" t="s">
        <v>124</v>
      </c>
      <c r="E641">
        <v>5</v>
      </c>
      <c r="F641">
        <v>1005</v>
      </c>
      <c r="G641" t="s">
        <v>114</v>
      </c>
      <c r="J641" t="s">
        <v>125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"14:45:22.234"</f>
        <v>14:45:22.234</v>
      </c>
      <c r="T641" t="str">
        <f>"14:45:21.734"</f>
        <v>14:45:21.734</v>
      </c>
      <c r="U641" t="str">
        <f t="shared" si="27"/>
        <v>A0F928</v>
      </c>
      <c r="V641">
        <v>0</v>
      </c>
      <c r="W641">
        <v>0</v>
      </c>
      <c r="X641">
        <v>2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1</v>
      </c>
      <c r="AI641" t="s">
        <v>438</v>
      </c>
      <c r="AJ641">
        <v>35.807962000000003</v>
      </c>
      <c r="AK641" t="s">
        <v>439</v>
      </c>
      <c r="AL641">
        <v>-83.934517</v>
      </c>
      <c r="AM641">
        <v>25</v>
      </c>
      <c r="AN641">
        <v>1625</v>
      </c>
      <c r="AO641" t="s">
        <v>118</v>
      </c>
      <c r="AP641">
        <v>14</v>
      </c>
      <c r="AQ641">
        <v>-87</v>
      </c>
      <c r="AR641">
        <v>128</v>
      </c>
      <c r="AZ641">
        <v>300</v>
      </c>
      <c r="BA641">
        <v>1</v>
      </c>
      <c r="BB641" t="str">
        <f t="shared" si="29"/>
        <v xml:space="preserve">N162AM  </v>
      </c>
      <c r="BC641">
        <v>1</v>
      </c>
      <c r="BE641">
        <v>0</v>
      </c>
      <c r="BF641">
        <v>0</v>
      </c>
      <c r="BG641">
        <v>0</v>
      </c>
      <c r="BH641">
        <v>1900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>"14:45:22.240"</f>
        <v>14:45:22.240</v>
      </c>
      <c r="CJ641">
        <v>3</v>
      </c>
      <c r="CK641">
        <v>2</v>
      </c>
      <c r="CL641">
        <v>0</v>
      </c>
      <c r="CM641">
        <v>2</v>
      </c>
      <c r="CN641">
        <v>0</v>
      </c>
      <c r="CO641">
        <v>5</v>
      </c>
      <c r="CP641" t="s">
        <v>119</v>
      </c>
      <c r="CQ641">
        <v>232</v>
      </c>
      <c r="CR641">
        <v>1</v>
      </c>
      <c r="CW641">
        <v>15075964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1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"12/16/2021 14:45:23.615"</f>
        <v>12/16/2021 14:45:23.615</v>
      </c>
      <c r="C642" t="str">
        <f t="shared" si="28"/>
        <v>FFDFD3C0</v>
      </c>
      <c r="D642" t="s">
        <v>113</v>
      </c>
      <c r="E642">
        <v>8</v>
      </c>
      <c r="H642">
        <v>176</v>
      </c>
      <c r="I642" t="s">
        <v>114</v>
      </c>
      <c r="J642" t="s">
        <v>115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"14:45:23.375"</f>
        <v>14:45:23.375</v>
      </c>
      <c r="T642" t="str">
        <f>"14:45:22.875"</f>
        <v>14:45:22.875</v>
      </c>
      <c r="U642" t="str">
        <f t="shared" ref="U642:U705" si="30">"A0F928"</f>
        <v>A0F928</v>
      </c>
      <c r="V642">
        <v>0</v>
      </c>
      <c r="W642">
        <v>0</v>
      </c>
      <c r="X642">
        <v>2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1</v>
      </c>
      <c r="AI642" t="s">
        <v>440</v>
      </c>
      <c r="AJ642">
        <v>35.807512000000003</v>
      </c>
      <c r="AK642" t="s">
        <v>439</v>
      </c>
      <c r="AL642">
        <v>-83.934517</v>
      </c>
      <c r="AM642">
        <v>25</v>
      </c>
      <c r="AN642">
        <v>1625</v>
      </c>
      <c r="AO642" t="s">
        <v>118</v>
      </c>
      <c r="AP642">
        <v>9</v>
      </c>
      <c r="AQ642">
        <v>-88</v>
      </c>
      <c r="AR642">
        <v>64</v>
      </c>
      <c r="AZ642">
        <v>300</v>
      </c>
      <c r="BA642">
        <v>1</v>
      </c>
      <c r="BB642" t="str">
        <f t="shared" si="29"/>
        <v xml:space="preserve">N162AM  </v>
      </c>
      <c r="BC642">
        <v>1</v>
      </c>
      <c r="BE642">
        <v>0</v>
      </c>
      <c r="BF642">
        <v>0</v>
      </c>
      <c r="BG642">
        <v>0</v>
      </c>
      <c r="BH642">
        <v>1875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>"14:45:23.375"</f>
        <v>14:45:23.375</v>
      </c>
      <c r="CJ642">
        <v>3</v>
      </c>
      <c r="CK642">
        <v>2</v>
      </c>
      <c r="CL642">
        <v>0</v>
      </c>
      <c r="CM642">
        <v>2</v>
      </c>
      <c r="CN642">
        <v>0</v>
      </c>
      <c r="CO642">
        <v>5</v>
      </c>
      <c r="CP642" t="s">
        <v>119</v>
      </c>
      <c r="CQ642">
        <v>232</v>
      </c>
      <c r="CR642">
        <v>2</v>
      </c>
      <c r="CW642">
        <v>6272790</v>
      </c>
      <c r="CY642">
        <v>1</v>
      </c>
      <c r="CZ642">
        <v>0</v>
      </c>
      <c r="DA642">
        <v>0</v>
      </c>
      <c r="DB642">
        <v>0</v>
      </c>
      <c r="DC642">
        <v>0</v>
      </c>
      <c r="DD642">
        <v>1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"12/16/2021 14:45:23.615"</f>
        <v>12/16/2021 14:45:23.615</v>
      </c>
      <c r="C643" t="str">
        <f t="shared" si="28"/>
        <v>FFDFD3C0</v>
      </c>
      <c r="D643" t="s">
        <v>124</v>
      </c>
      <c r="E643">
        <v>10</v>
      </c>
      <c r="F643">
        <v>1010</v>
      </c>
      <c r="G643" t="s">
        <v>130</v>
      </c>
      <c r="J643" t="s">
        <v>125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"14:45:23.375"</f>
        <v>14:45:23.375</v>
      </c>
      <c r="T643" t="str">
        <f>"14:45:22.875"</f>
        <v>14:45:22.875</v>
      </c>
      <c r="U643" t="str">
        <f t="shared" si="30"/>
        <v>A0F928</v>
      </c>
      <c r="V643">
        <v>0</v>
      </c>
      <c r="W643">
        <v>0</v>
      </c>
      <c r="X643">
        <v>2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1</v>
      </c>
      <c r="AI643" t="s">
        <v>440</v>
      </c>
      <c r="AJ643">
        <v>35.807512000000003</v>
      </c>
      <c r="AK643" t="s">
        <v>439</v>
      </c>
      <c r="AL643">
        <v>-83.934517</v>
      </c>
      <c r="AM643">
        <v>25</v>
      </c>
      <c r="AN643">
        <v>1625</v>
      </c>
      <c r="AO643" t="s">
        <v>118</v>
      </c>
      <c r="AP643">
        <v>9</v>
      </c>
      <c r="AQ643">
        <v>-88</v>
      </c>
      <c r="AR643">
        <v>64</v>
      </c>
      <c r="AZ643">
        <v>300</v>
      </c>
      <c r="BA643">
        <v>1</v>
      </c>
      <c r="BB643" t="str">
        <f t="shared" si="29"/>
        <v xml:space="preserve">N162AM  </v>
      </c>
      <c r="BC643">
        <v>1</v>
      </c>
      <c r="BE643">
        <v>0</v>
      </c>
      <c r="BF643">
        <v>0</v>
      </c>
      <c r="BG643">
        <v>0</v>
      </c>
      <c r="BH643">
        <v>1875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>"14:45:23.375"</f>
        <v>14:45:23.375</v>
      </c>
      <c r="CJ643">
        <v>3</v>
      </c>
      <c r="CK643">
        <v>2</v>
      </c>
      <c r="CL643">
        <v>0</v>
      </c>
      <c r="CM643">
        <v>2</v>
      </c>
      <c r="CN643">
        <v>0</v>
      </c>
      <c r="CO643">
        <v>5</v>
      </c>
      <c r="CP643" t="s">
        <v>119</v>
      </c>
      <c r="CQ643">
        <v>232</v>
      </c>
      <c r="CR643">
        <v>2</v>
      </c>
      <c r="CW643">
        <v>6272790</v>
      </c>
      <c r="CY643">
        <v>1</v>
      </c>
      <c r="CZ643">
        <v>0</v>
      </c>
      <c r="DA643">
        <v>1</v>
      </c>
      <c r="DB643">
        <v>0</v>
      </c>
      <c r="DC643">
        <v>0</v>
      </c>
      <c r="DD643">
        <v>1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"12/16/2021 14:45:23.615"</f>
        <v>12/16/2021 14:45:23.615</v>
      </c>
      <c r="C644" t="str">
        <f t="shared" si="28"/>
        <v>FFDFD3C0</v>
      </c>
      <c r="D644" t="s">
        <v>133</v>
      </c>
      <c r="E644">
        <v>44</v>
      </c>
      <c r="H644">
        <v>131</v>
      </c>
      <c r="I644" t="s">
        <v>134</v>
      </c>
      <c r="J644" t="s">
        <v>135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"14:45:23.375"</f>
        <v>14:45:23.375</v>
      </c>
      <c r="T644" t="str">
        <f>"14:45:22.875"</f>
        <v>14:45:22.875</v>
      </c>
      <c r="U644" t="str">
        <f t="shared" si="30"/>
        <v>A0F928</v>
      </c>
      <c r="V644">
        <v>0</v>
      </c>
      <c r="W644">
        <v>0</v>
      </c>
      <c r="X644">
        <v>2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1</v>
      </c>
      <c r="AI644" t="s">
        <v>440</v>
      </c>
      <c r="AJ644">
        <v>35.807512000000003</v>
      </c>
      <c r="AK644" t="s">
        <v>439</v>
      </c>
      <c r="AL644">
        <v>-83.934517</v>
      </c>
      <c r="AM644">
        <v>25</v>
      </c>
      <c r="AN644">
        <v>1625</v>
      </c>
      <c r="AO644" t="s">
        <v>118</v>
      </c>
      <c r="AP644">
        <v>9</v>
      </c>
      <c r="AQ644">
        <v>-88</v>
      </c>
      <c r="AR644">
        <v>64</v>
      </c>
      <c r="AZ644">
        <v>300</v>
      </c>
      <c r="BA644">
        <v>1</v>
      </c>
      <c r="BB644" t="str">
        <f t="shared" si="29"/>
        <v xml:space="preserve">N162AM  </v>
      </c>
      <c r="BC644">
        <v>1</v>
      </c>
      <c r="BE644">
        <v>0</v>
      </c>
      <c r="BF644">
        <v>0</v>
      </c>
      <c r="BG644">
        <v>0</v>
      </c>
      <c r="BH644">
        <v>1875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>"14:45:23.375"</f>
        <v>14:45:23.375</v>
      </c>
      <c r="CJ644">
        <v>3</v>
      </c>
      <c r="CK644">
        <v>2</v>
      </c>
      <c r="CL644">
        <v>0</v>
      </c>
      <c r="CM644">
        <v>2</v>
      </c>
      <c r="CN644">
        <v>0</v>
      </c>
      <c r="CO644">
        <v>5</v>
      </c>
      <c r="CP644" t="s">
        <v>119</v>
      </c>
      <c r="CQ644">
        <v>232</v>
      </c>
      <c r="CR644">
        <v>2</v>
      </c>
      <c r="CW644">
        <v>6272790</v>
      </c>
      <c r="CY644">
        <v>1</v>
      </c>
      <c r="CZ644">
        <v>0</v>
      </c>
      <c r="DA644">
        <v>1</v>
      </c>
      <c r="DB644">
        <v>0</v>
      </c>
      <c r="DC644">
        <v>0</v>
      </c>
      <c r="DD644">
        <v>1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"12/16/2021 14:45:23.615"</f>
        <v>12/16/2021 14:45:23.615</v>
      </c>
      <c r="C645" t="str">
        <f t="shared" si="28"/>
        <v>FFDFD3C0</v>
      </c>
      <c r="D645" t="s">
        <v>124</v>
      </c>
      <c r="E645">
        <v>5</v>
      </c>
      <c r="F645">
        <v>1005</v>
      </c>
      <c r="G645" t="s">
        <v>114</v>
      </c>
      <c r="J645" t="s">
        <v>125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"14:45:23.375"</f>
        <v>14:45:23.375</v>
      </c>
      <c r="T645" t="str">
        <f>"14:45:22.875"</f>
        <v>14:45:22.875</v>
      </c>
      <c r="U645" t="str">
        <f t="shared" si="30"/>
        <v>A0F928</v>
      </c>
      <c r="V645">
        <v>0</v>
      </c>
      <c r="W645">
        <v>0</v>
      </c>
      <c r="X645">
        <v>2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1</v>
      </c>
      <c r="AI645" t="s">
        <v>440</v>
      </c>
      <c r="AJ645">
        <v>35.807512000000003</v>
      </c>
      <c r="AK645" t="s">
        <v>439</v>
      </c>
      <c r="AL645">
        <v>-83.934517</v>
      </c>
      <c r="AM645">
        <v>25</v>
      </c>
      <c r="AN645">
        <v>1625</v>
      </c>
      <c r="AO645" t="s">
        <v>118</v>
      </c>
      <c r="AP645">
        <v>9</v>
      </c>
      <c r="AQ645">
        <v>-88</v>
      </c>
      <c r="AR645">
        <v>64</v>
      </c>
      <c r="AZ645">
        <v>300</v>
      </c>
      <c r="BA645">
        <v>1</v>
      </c>
      <c r="BB645" t="str">
        <f t="shared" si="29"/>
        <v xml:space="preserve">N162AM  </v>
      </c>
      <c r="BC645">
        <v>1</v>
      </c>
      <c r="BE645">
        <v>0</v>
      </c>
      <c r="BF645">
        <v>0</v>
      </c>
      <c r="BG645">
        <v>0</v>
      </c>
      <c r="BH645">
        <v>1875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>"14:45:23.375"</f>
        <v>14:45:23.375</v>
      </c>
      <c r="CJ645">
        <v>3</v>
      </c>
      <c r="CK645">
        <v>2</v>
      </c>
      <c r="CL645">
        <v>0</v>
      </c>
      <c r="CM645">
        <v>2</v>
      </c>
      <c r="CN645">
        <v>0</v>
      </c>
      <c r="CO645">
        <v>5</v>
      </c>
      <c r="CP645" t="s">
        <v>119</v>
      </c>
      <c r="CQ645">
        <v>232</v>
      </c>
      <c r="CR645">
        <v>2</v>
      </c>
      <c r="CW645">
        <v>6272790</v>
      </c>
      <c r="CY645">
        <v>1</v>
      </c>
      <c r="CZ645">
        <v>0</v>
      </c>
      <c r="DA645">
        <v>1</v>
      </c>
      <c r="DB645">
        <v>0</v>
      </c>
      <c r="DC645">
        <v>0</v>
      </c>
      <c r="DD645">
        <v>1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"12/16/2021 14:45:24.990"</f>
        <v>12/16/2021 14:45:24.990</v>
      </c>
      <c r="C646" t="str">
        <f t="shared" si="28"/>
        <v>FFDFD3C0</v>
      </c>
      <c r="D646" t="s">
        <v>124</v>
      </c>
      <c r="E646">
        <v>10</v>
      </c>
      <c r="F646">
        <v>1010</v>
      </c>
      <c r="G646" t="s">
        <v>130</v>
      </c>
      <c r="J646" t="s">
        <v>125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"14:45:24.742"</f>
        <v>14:45:24.742</v>
      </c>
      <c r="T646" t="str">
        <f>"14:45:24.342"</f>
        <v>14:45:24.342</v>
      </c>
      <c r="U646" t="str">
        <f t="shared" si="30"/>
        <v>A0F928</v>
      </c>
      <c r="V646">
        <v>0</v>
      </c>
      <c r="W646">
        <v>0</v>
      </c>
      <c r="X646">
        <v>2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1</v>
      </c>
      <c r="AI646" t="s">
        <v>441</v>
      </c>
      <c r="AJ646">
        <v>35.806953999999998</v>
      </c>
      <c r="AK646" t="s">
        <v>442</v>
      </c>
      <c r="AL646">
        <v>-83.934494999999998</v>
      </c>
      <c r="AM646">
        <v>25</v>
      </c>
      <c r="AN646">
        <v>1625</v>
      </c>
      <c r="AO646" t="s">
        <v>118</v>
      </c>
      <c r="AP646">
        <v>1</v>
      </c>
      <c r="AQ646">
        <v>-88</v>
      </c>
      <c r="AR646">
        <v>64</v>
      </c>
      <c r="AZ646">
        <v>300</v>
      </c>
      <c r="BA646">
        <v>1</v>
      </c>
      <c r="BB646" t="str">
        <f t="shared" si="29"/>
        <v xml:space="preserve">N162AM  </v>
      </c>
      <c r="BC646">
        <v>1</v>
      </c>
      <c r="BE646">
        <v>0</v>
      </c>
      <c r="BF646">
        <v>0</v>
      </c>
      <c r="BG646">
        <v>0</v>
      </c>
      <c r="BH646">
        <v>1875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>"14:45:24.743"</f>
        <v>14:45:24.743</v>
      </c>
      <c r="CJ646">
        <v>3</v>
      </c>
      <c r="CK646">
        <v>2</v>
      </c>
      <c r="CL646">
        <v>0</v>
      </c>
      <c r="CM646">
        <v>2</v>
      </c>
      <c r="CN646">
        <v>0</v>
      </c>
      <c r="CO646">
        <v>5</v>
      </c>
      <c r="CP646" t="s">
        <v>119</v>
      </c>
      <c r="CQ646">
        <v>232</v>
      </c>
      <c r="CR646">
        <v>2</v>
      </c>
      <c r="CW646">
        <v>6274834</v>
      </c>
      <c r="CY646">
        <v>1</v>
      </c>
      <c r="CZ646">
        <v>0</v>
      </c>
      <c r="DA646">
        <v>0</v>
      </c>
      <c r="DB646">
        <v>0</v>
      </c>
      <c r="DC646">
        <v>0</v>
      </c>
      <c r="DD646">
        <v>1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"12/16/2021 14:45:25.052"</f>
        <v>12/16/2021 14:45:25.052</v>
      </c>
      <c r="C647" t="str">
        <f t="shared" si="28"/>
        <v>FFDFD3C0</v>
      </c>
      <c r="D647" t="s">
        <v>113</v>
      </c>
      <c r="E647">
        <v>8</v>
      </c>
      <c r="H647">
        <v>176</v>
      </c>
      <c r="I647" t="s">
        <v>114</v>
      </c>
      <c r="J647" t="s">
        <v>115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"14:45:24.742"</f>
        <v>14:45:24.742</v>
      </c>
      <c r="T647" t="str">
        <f>"14:45:24.342"</f>
        <v>14:45:24.342</v>
      </c>
      <c r="U647" t="str">
        <f t="shared" si="30"/>
        <v>A0F928</v>
      </c>
      <c r="V647">
        <v>0</v>
      </c>
      <c r="W647">
        <v>0</v>
      </c>
      <c r="X647">
        <v>2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1</v>
      </c>
      <c r="AI647" t="s">
        <v>441</v>
      </c>
      <c r="AJ647">
        <v>35.806953999999998</v>
      </c>
      <c r="AK647" t="s">
        <v>442</v>
      </c>
      <c r="AL647">
        <v>-83.934494999999998</v>
      </c>
      <c r="AM647">
        <v>25</v>
      </c>
      <c r="AN647">
        <v>1625</v>
      </c>
      <c r="AO647" t="s">
        <v>118</v>
      </c>
      <c r="AP647">
        <v>1</v>
      </c>
      <c r="AQ647">
        <v>-88</v>
      </c>
      <c r="AR647">
        <v>64</v>
      </c>
      <c r="AZ647">
        <v>300</v>
      </c>
      <c r="BA647">
        <v>1</v>
      </c>
      <c r="BB647" t="str">
        <f t="shared" si="29"/>
        <v xml:space="preserve">N162AM  </v>
      </c>
      <c r="BC647">
        <v>1</v>
      </c>
      <c r="BE647">
        <v>0</v>
      </c>
      <c r="BF647">
        <v>0</v>
      </c>
      <c r="BG647">
        <v>0</v>
      </c>
      <c r="BH647">
        <v>1875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>"14:45:24.743"</f>
        <v>14:45:24.743</v>
      </c>
      <c r="CJ647">
        <v>3</v>
      </c>
      <c r="CK647">
        <v>2</v>
      </c>
      <c r="CL647">
        <v>0</v>
      </c>
      <c r="CM647">
        <v>2</v>
      </c>
      <c r="CN647">
        <v>0</v>
      </c>
      <c r="CO647">
        <v>5</v>
      </c>
      <c r="CP647" t="s">
        <v>119</v>
      </c>
      <c r="CQ647">
        <v>232</v>
      </c>
      <c r="CR647">
        <v>2</v>
      </c>
      <c r="CW647">
        <v>6274834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1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"12/16/2021 14:45:25.052"</f>
        <v>12/16/2021 14:45:25.052</v>
      </c>
      <c r="C648" t="str">
        <f t="shared" si="28"/>
        <v>FFDFD3C0</v>
      </c>
      <c r="D648" t="s">
        <v>133</v>
      </c>
      <c r="E648">
        <v>44</v>
      </c>
      <c r="H648">
        <v>131</v>
      </c>
      <c r="I648" t="s">
        <v>134</v>
      </c>
      <c r="J648" t="s">
        <v>135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"14:45:24.742"</f>
        <v>14:45:24.742</v>
      </c>
      <c r="T648" t="str">
        <f>"14:45:24.342"</f>
        <v>14:45:24.342</v>
      </c>
      <c r="U648" t="str">
        <f t="shared" si="30"/>
        <v>A0F928</v>
      </c>
      <c r="V648">
        <v>0</v>
      </c>
      <c r="W648">
        <v>0</v>
      </c>
      <c r="X648">
        <v>2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1</v>
      </c>
      <c r="AI648" t="s">
        <v>441</v>
      </c>
      <c r="AJ648">
        <v>35.806953999999998</v>
      </c>
      <c r="AK648" t="s">
        <v>442</v>
      </c>
      <c r="AL648">
        <v>-83.934494999999998</v>
      </c>
      <c r="AM648">
        <v>25</v>
      </c>
      <c r="AN648">
        <v>1625</v>
      </c>
      <c r="AO648" t="s">
        <v>118</v>
      </c>
      <c r="AP648">
        <v>1</v>
      </c>
      <c r="AQ648">
        <v>-88</v>
      </c>
      <c r="AR648">
        <v>64</v>
      </c>
      <c r="AZ648">
        <v>300</v>
      </c>
      <c r="BA648">
        <v>1</v>
      </c>
      <c r="BB648" t="str">
        <f t="shared" si="29"/>
        <v xml:space="preserve">N162AM  </v>
      </c>
      <c r="BC648">
        <v>1</v>
      </c>
      <c r="BE648">
        <v>0</v>
      </c>
      <c r="BF648">
        <v>0</v>
      </c>
      <c r="BG648">
        <v>0</v>
      </c>
      <c r="BH648">
        <v>1875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>"14:45:24.743"</f>
        <v>14:45:24.743</v>
      </c>
      <c r="CJ648">
        <v>3</v>
      </c>
      <c r="CK648">
        <v>2</v>
      </c>
      <c r="CL648">
        <v>0</v>
      </c>
      <c r="CM648">
        <v>2</v>
      </c>
      <c r="CN648">
        <v>0</v>
      </c>
      <c r="CO648">
        <v>5</v>
      </c>
      <c r="CP648" t="s">
        <v>119</v>
      </c>
      <c r="CQ648">
        <v>232</v>
      </c>
      <c r="CR648">
        <v>2</v>
      </c>
      <c r="CW648">
        <v>6274834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1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"12/16/2021 14:45:25.052"</f>
        <v>12/16/2021 14:45:25.052</v>
      </c>
      <c r="C649" t="str">
        <f t="shared" si="28"/>
        <v>FFDFD3C0</v>
      </c>
      <c r="D649" t="s">
        <v>124</v>
      </c>
      <c r="E649">
        <v>5</v>
      </c>
      <c r="F649">
        <v>1005</v>
      </c>
      <c r="G649" t="s">
        <v>114</v>
      </c>
      <c r="J649" t="s">
        <v>125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"14:45:24.742"</f>
        <v>14:45:24.742</v>
      </c>
      <c r="T649" t="str">
        <f>"14:45:24.342"</f>
        <v>14:45:24.342</v>
      </c>
      <c r="U649" t="str">
        <f t="shared" si="30"/>
        <v>A0F928</v>
      </c>
      <c r="V649">
        <v>0</v>
      </c>
      <c r="W649">
        <v>0</v>
      </c>
      <c r="X649">
        <v>2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1</v>
      </c>
      <c r="AI649" t="s">
        <v>441</v>
      </c>
      <c r="AJ649">
        <v>35.806953999999998</v>
      </c>
      <c r="AK649" t="s">
        <v>442</v>
      </c>
      <c r="AL649">
        <v>-83.934494999999998</v>
      </c>
      <c r="AM649">
        <v>25</v>
      </c>
      <c r="AN649">
        <v>1625</v>
      </c>
      <c r="AO649" t="s">
        <v>118</v>
      </c>
      <c r="AP649">
        <v>1</v>
      </c>
      <c r="AQ649">
        <v>-88</v>
      </c>
      <c r="AR649">
        <v>64</v>
      </c>
      <c r="AZ649">
        <v>300</v>
      </c>
      <c r="BA649">
        <v>1</v>
      </c>
      <c r="BB649" t="str">
        <f t="shared" si="29"/>
        <v xml:space="preserve">N162AM  </v>
      </c>
      <c r="BC649">
        <v>1</v>
      </c>
      <c r="BE649">
        <v>0</v>
      </c>
      <c r="BF649">
        <v>0</v>
      </c>
      <c r="BG649">
        <v>0</v>
      </c>
      <c r="BH649">
        <v>1875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>"14:45:24.743"</f>
        <v>14:45:24.743</v>
      </c>
      <c r="CJ649">
        <v>3</v>
      </c>
      <c r="CK649">
        <v>2</v>
      </c>
      <c r="CL649">
        <v>0</v>
      </c>
      <c r="CM649">
        <v>2</v>
      </c>
      <c r="CN649">
        <v>0</v>
      </c>
      <c r="CO649">
        <v>5</v>
      </c>
      <c r="CP649" t="s">
        <v>119</v>
      </c>
      <c r="CQ649">
        <v>232</v>
      </c>
      <c r="CR649">
        <v>2</v>
      </c>
      <c r="CW649">
        <v>6274834</v>
      </c>
      <c r="CY649">
        <v>1</v>
      </c>
      <c r="CZ649">
        <v>0</v>
      </c>
      <c r="DA649">
        <v>1</v>
      </c>
      <c r="DB649">
        <v>0</v>
      </c>
      <c r="DC649">
        <v>0</v>
      </c>
      <c r="DD649">
        <v>1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"12/16/2021 14:45:25.905"</f>
        <v>12/16/2021 14:45:25.905</v>
      </c>
      <c r="C650" t="str">
        <f t="shared" si="28"/>
        <v>FFDFD3C0</v>
      </c>
      <c r="D650" t="s">
        <v>133</v>
      </c>
      <c r="E650">
        <v>44</v>
      </c>
      <c r="H650">
        <v>131</v>
      </c>
      <c r="I650" t="s">
        <v>134</v>
      </c>
      <c r="J650" t="s">
        <v>135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"14:45:25.688"</f>
        <v>14:45:25.688</v>
      </c>
      <c r="T650" t="str">
        <f>"14:45:24.788"</f>
        <v>14:45:24.788</v>
      </c>
      <c r="U650" t="str">
        <f t="shared" si="30"/>
        <v>A0F928</v>
      </c>
      <c r="V650">
        <v>0</v>
      </c>
      <c r="W650">
        <v>0</v>
      </c>
      <c r="X650">
        <v>2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1</v>
      </c>
      <c r="AI650" t="s">
        <v>443</v>
      </c>
      <c r="AJ650">
        <v>35.806545999999997</v>
      </c>
      <c r="AK650" t="s">
        <v>442</v>
      </c>
      <c r="AL650">
        <v>-83.934494999999998</v>
      </c>
      <c r="AM650">
        <v>25</v>
      </c>
      <c r="AN650">
        <v>1625</v>
      </c>
      <c r="AO650" t="s">
        <v>118</v>
      </c>
      <c r="AP650">
        <v>-2</v>
      </c>
      <c r="AQ650">
        <v>-88</v>
      </c>
      <c r="AR650">
        <v>128</v>
      </c>
      <c r="AZ650">
        <v>300</v>
      </c>
      <c r="BA650">
        <v>1</v>
      </c>
      <c r="BB650" t="str">
        <f t="shared" si="29"/>
        <v xml:space="preserve">N162AM  </v>
      </c>
      <c r="BC650">
        <v>1</v>
      </c>
      <c r="BE650">
        <v>0</v>
      </c>
      <c r="BF650">
        <v>0</v>
      </c>
      <c r="BG650">
        <v>0</v>
      </c>
      <c r="BH650">
        <v>1875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>"14:45:25.695"</f>
        <v>14:45:25.695</v>
      </c>
      <c r="CJ650">
        <v>3</v>
      </c>
      <c r="CK650">
        <v>2</v>
      </c>
      <c r="CL650">
        <v>0</v>
      </c>
      <c r="CM650">
        <v>2</v>
      </c>
      <c r="CN650">
        <v>0</v>
      </c>
      <c r="CO650">
        <v>5</v>
      </c>
      <c r="CP650" t="s">
        <v>119</v>
      </c>
      <c r="CQ650">
        <v>232</v>
      </c>
      <c r="CR650">
        <v>2</v>
      </c>
      <c r="CW650">
        <v>6276272</v>
      </c>
      <c r="CY650">
        <v>1</v>
      </c>
      <c r="CZ650">
        <v>0</v>
      </c>
      <c r="DA650">
        <v>0</v>
      </c>
      <c r="DB650">
        <v>0</v>
      </c>
      <c r="DC650">
        <v>0</v>
      </c>
      <c r="DD650">
        <v>1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"12/16/2021 14:45:25.905"</f>
        <v>12/16/2021 14:45:25.905</v>
      </c>
      <c r="C651" t="str">
        <f t="shared" si="28"/>
        <v>FFDFD3C0</v>
      </c>
      <c r="D651" t="s">
        <v>124</v>
      </c>
      <c r="E651">
        <v>5</v>
      </c>
      <c r="F651">
        <v>1005</v>
      </c>
      <c r="G651" t="s">
        <v>114</v>
      </c>
      <c r="J651" t="s">
        <v>125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"14:45:25.695"</f>
        <v>14:45:25.695</v>
      </c>
      <c r="T651" t="str">
        <f>"14:45:25.295"</f>
        <v>14:45:25.295</v>
      </c>
      <c r="U651" t="str">
        <f t="shared" si="30"/>
        <v>A0F928</v>
      </c>
      <c r="V651">
        <v>0</v>
      </c>
      <c r="W651">
        <v>0</v>
      </c>
      <c r="X651">
        <v>2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1</v>
      </c>
      <c r="AI651" t="s">
        <v>443</v>
      </c>
      <c r="AJ651">
        <v>35.806545999999997</v>
      </c>
      <c r="AK651" t="s">
        <v>442</v>
      </c>
      <c r="AL651">
        <v>-83.934494999999998</v>
      </c>
      <c r="AM651">
        <v>25</v>
      </c>
      <c r="AN651">
        <v>1625</v>
      </c>
      <c r="AO651" t="s">
        <v>118</v>
      </c>
      <c r="AP651">
        <v>-4</v>
      </c>
      <c r="AQ651">
        <v>-88</v>
      </c>
      <c r="AR651">
        <v>128</v>
      </c>
      <c r="AZ651">
        <v>300</v>
      </c>
      <c r="BA651">
        <v>1</v>
      </c>
      <c r="BB651" t="str">
        <f t="shared" si="29"/>
        <v xml:space="preserve">N162AM  </v>
      </c>
      <c r="BC651">
        <v>1</v>
      </c>
      <c r="BE651">
        <v>0</v>
      </c>
      <c r="BF651">
        <v>0</v>
      </c>
      <c r="BG651">
        <v>0</v>
      </c>
      <c r="BH651">
        <v>1875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>"14:45:25.696"</f>
        <v>14:45:25.696</v>
      </c>
      <c r="CJ651">
        <v>3</v>
      </c>
      <c r="CK651">
        <v>2</v>
      </c>
      <c r="CL651">
        <v>0</v>
      </c>
      <c r="CM651">
        <v>2</v>
      </c>
      <c r="CN651">
        <v>0</v>
      </c>
      <c r="CO651">
        <v>1</v>
      </c>
      <c r="CP651" t="s">
        <v>119</v>
      </c>
      <c r="CQ651">
        <v>223</v>
      </c>
      <c r="CR651">
        <v>2</v>
      </c>
      <c r="CW651">
        <v>15160994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1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"12/16/2021 14:45:25.952"</f>
        <v>12/16/2021 14:45:25.952</v>
      </c>
      <c r="C652" t="str">
        <f t="shared" ref="C652:C715" si="31">"FFDFD3C0"</f>
        <v>FFDFD3C0</v>
      </c>
      <c r="D652" t="s">
        <v>124</v>
      </c>
      <c r="E652">
        <v>10</v>
      </c>
      <c r="F652">
        <v>1010</v>
      </c>
      <c r="G652" t="s">
        <v>130</v>
      </c>
      <c r="J652" t="s">
        <v>125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"14:45:25.695"</f>
        <v>14:45:25.695</v>
      </c>
      <c r="T652" t="str">
        <f>"14:45:25.295"</f>
        <v>14:45:25.295</v>
      </c>
      <c r="U652" t="str">
        <f t="shared" si="30"/>
        <v>A0F928</v>
      </c>
      <c r="V652">
        <v>0</v>
      </c>
      <c r="W652">
        <v>0</v>
      </c>
      <c r="X652">
        <v>2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1</v>
      </c>
      <c r="AI652" t="s">
        <v>443</v>
      </c>
      <c r="AJ652">
        <v>35.806545999999997</v>
      </c>
      <c r="AK652" t="s">
        <v>442</v>
      </c>
      <c r="AL652">
        <v>-83.934494999999998</v>
      </c>
      <c r="AM652">
        <v>25</v>
      </c>
      <c r="AN652">
        <v>1625</v>
      </c>
      <c r="AO652" t="s">
        <v>118</v>
      </c>
      <c r="AP652">
        <v>-4</v>
      </c>
      <c r="AQ652">
        <v>-88</v>
      </c>
      <c r="AR652">
        <v>128</v>
      </c>
      <c r="AZ652">
        <v>300</v>
      </c>
      <c r="BA652">
        <v>1</v>
      </c>
      <c r="BB652" t="str">
        <f t="shared" ref="BB652:BB715" si="32">"N162AM  "</f>
        <v xml:space="preserve">N162AM  </v>
      </c>
      <c r="BC652">
        <v>1</v>
      </c>
      <c r="BE652">
        <v>0</v>
      </c>
      <c r="BF652">
        <v>0</v>
      </c>
      <c r="BG652">
        <v>0</v>
      </c>
      <c r="BH652">
        <v>1875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>"14:45:25.696"</f>
        <v>14:45:25.696</v>
      </c>
      <c r="CJ652">
        <v>3</v>
      </c>
      <c r="CK652">
        <v>2</v>
      </c>
      <c r="CL652">
        <v>0</v>
      </c>
      <c r="CM652">
        <v>2</v>
      </c>
      <c r="CN652">
        <v>0</v>
      </c>
      <c r="CO652">
        <v>1</v>
      </c>
      <c r="CP652" t="s">
        <v>119</v>
      </c>
      <c r="CQ652">
        <v>223</v>
      </c>
      <c r="CR652">
        <v>2</v>
      </c>
      <c r="CW652">
        <v>15160994</v>
      </c>
      <c r="CY652">
        <v>1</v>
      </c>
      <c r="CZ652">
        <v>0</v>
      </c>
      <c r="DA652">
        <v>1</v>
      </c>
      <c r="DB652">
        <v>0</v>
      </c>
      <c r="DC652">
        <v>0</v>
      </c>
      <c r="DD652">
        <v>1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"12/16/2021 14:45:25.952"</f>
        <v>12/16/2021 14:45:25.952</v>
      </c>
      <c r="C653" t="str">
        <f t="shared" si="31"/>
        <v>FFDFD3C0</v>
      </c>
      <c r="D653" t="s">
        <v>113</v>
      </c>
      <c r="E653">
        <v>8</v>
      </c>
      <c r="H653">
        <v>176</v>
      </c>
      <c r="I653" t="s">
        <v>114</v>
      </c>
      <c r="J653" t="s">
        <v>115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"14:45:25.695"</f>
        <v>14:45:25.695</v>
      </c>
      <c r="T653" t="str">
        <f>"14:45:25.295"</f>
        <v>14:45:25.295</v>
      </c>
      <c r="U653" t="str">
        <f t="shared" si="30"/>
        <v>A0F928</v>
      </c>
      <c r="V653">
        <v>0</v>
      </c>
      <c r="W653">
        <v>0</v>
      </c>
      <c r="X653">
        <v>2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1</v>
      </c>
      <c r="AI653" t="s">
        <v>443</v>
      </c>
      <c r="AJ653">
        <v>35.806545999999997</v>
      </c>
      <c r="AK653" t="s">
        <v>442</v>
      </c>
      <c r="AL653">
        <v>-83.934494999999998</v>
      </c>
      <c r="AM653">
        <v>25</v>
      </c>
      <c r="AN653">
        <v>1625</v>
      </c>
      <c r="AO653" t="s">
        <v>118</v>
      </c>
      <c r="AP653">
        <v>-4</v>
      </c>
      <c r="AQ653">
        <v>-88</v>
      </c>
      <c r="AR653">
        <v>128</v>
      </c>
      <c r="AZ653">
        <v>300</v>
      </c>
      <c r="BA653">
        <v>1</v>
      </c>
      <c r="BB653" t="str">
        <f t="shared" si="32"/>
        <v xml:space="preserve">N162AM  </v>
      </c>
      <c r="BC653">
        <v>1</v>
      </c>
      <c r="BE653">
        <v>0</v>
      </c>
      <c r="BF653">
        <v>0</v>
      </c>
      <c r="BG653">
        <v>0</v>
      </c>
      <c r="BH653">
        <v>1875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>"14:45:25.696"</f>
        <v>14:45:25.696</v>
      </c>
      <c r="CJ653">
        <v>3</v>
      </c>
      <c r="CK653">
        <v>2</v>
      </c>
      <c r="CL653">
        <v>0</v>
      </c>
      <c r="CM653">
        <v>2</v>
      </c>
      <c r="CN653">
        <v>0</v>
      </c>
      <c r="CO653">
        <v>1</v>
      </c>
      <c r="CP653" t="s">
        <v>119</v>
      </c>
      <c r="CQ653">
        <v>223</v>
      </c>
      <c r="CR653">
        <v>2</v>
      </c>
      <c r="CW653">
        <v>15160994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1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"12/16/2021 14:45:27.405"</f>
        <v>12/16/2021 14:45:27.405</v>
      </c>
      <c r="C654" t="str">
        <f t="shared" si="31"/>
        <v>FFDFD3C0</v>
      </c>
      <c r="D654" t="s">
        <v>124</v>
      </c>
      <c r="E654">
        <v>10</v>
      </c>
      <c r="F654">
        <v>1010</v>
      </c>
      <c r="G654" t="s">
        <v>130</v>
      </c>
      <c r="J654" t="s">
        <v>125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"14:45:27.141"</f>
        <v>14:45:27.141</v>
      </c>
      <c r="T654" t="str">
        <f>"14:45:26.641"</f>
        <v>14:45:26.641</v>
      </c>
      <c r="U654" t="str">
        <f t="shared" si="30"/>
        <v>A0F928</v>
      </c>
      <c r="V654">
        <v>0</v>
      </c>
      <c r="W654">
        <v>0</v>
      </c>
      <c r="X654">
        <v>2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1</v>
      </c>
      <c r="AI654" t="s">
        <v>444</v>
      </c>
      <c r="AJ654">
        <v>35.805987999999999</v>
      </c>
      <c r="AK654" t="s">
        <v>437</v>
      </c>
      <c r="AL654">
        <v>-83.934602999999996</v>
      </c>
      <c r="AM654">
        <v>25</v>
      </c>
      <c r="AN654">
        <v>1650</v>
      </c>
      <c r="AO654" t="s">
        <v>118</v>
      </c>
      <c r="AP654">
        <v>-11</v>
      </c>
      <c r="AQ654">
        <v>-87</v>
      </c>
      <c r="AR654">
        <v>64</v>
      </c>
      <c r="AZ654">
        <v>300</v>
      </c>
      <c r="BA654">
        <v>1</v>
      </c>
      <c r="BB654" t="str">
        <f t="shared" si="32"/>
        <v xml:space="preserve">N162AM  </v>
      </c>
      <c r="BC654">
        <v>1</v>
      </c>
      <c r="BE654">
        <v>0</v>
      </c>
      <c r="BF654">
        <v>0</v>
      </c>
      <c r="BG654">
        <v>0</v>
      </c>
      <c r="BH654">
        <v>1875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>"14:45:27.141"</f>
        <v>14:45:27.141</v>
      </c>
      <c r="CJ654">
        <v>3</v>
      </c>
      <c r="CK654">
        <v>2</v>
      </c>
      <c r="CL654">
        <v>0</v>
      </c>
      <c r="CM654">
        <v>2</v>
      </c>
      <c r="CN654">
        <v>0</v>
      </c>
      <c r="CO654">
        <v>3</v>
      </c>
      <c r="CP654" t="s">
        <v>119</v>
      </c>
      <c r="CQ654">
        <v>223</v>
      </c>
      <c r="CR654">
        <v>2</v>
      </c>
      <c r="CW654">
        <v>15163525</v>
      </c>
      <c r="CY654">
        <v>1</v>
      </c>
      <c r="CZ654">
        <v>0</v>
      </c>
      <c r="DA654">
        <v>0</v>
      </c>
      <c r="DB654">
        <v>0</v>
      </c>
      <c r="DC654">
        <v>0</v>
      </c>
      <c r="DD654">
        <v>1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"12/16/2021 14:45:27.436"</f>
        <v>12/16/2021 14:45:27.436</v>
      </c>
      <c r="C655" t="str">
        <f t="shared" si="31"/>
        <v>FFDFD3C0</v>
      </c>
      <c r="D655" t="s">
        <v>124</v>
      </c>
      <c r="E655">
        <v>5</v>
      </c>
      <c r="F655">
        <v>1005</v>
      </c>
      <c r="G655" t="s">
        <v>114</v>
      </c>
      <c r="J655" t="s">
        <v>125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"14:45:27.141"</f>
        <v>14:45:27.141</v>
      </c>
      <c r="T655" t="str">
        <f>"14:45:26.641"</f>
        <v>14:45:26.641</v>
      </c>
      <c r="U655" t="str">
        <f t="shared" si="30"/>
        <v>A0F928</v>
      </c>
      <c r="V655">
        <v>0</v>
      </c>
      <c r="W655">
        <v>0</v>
      </c>
      <c r="X655">
        <v>2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1</v>
      </c>
      <c r="AI655" t="s">
        <v>444</v>
      </c>
      <c r="AJ655">
        <v>35.805987999999999</v>
      </c>
      <c r="AK655" t="s">
        <v>437</v>
      </c>
      <c r="AL655">
        <v>-83.934602999999996</v>
      </c>
      <c r="AM655">
        <v>25</v>
      </c>
      <c r="AN655">
        <v>1650</v>
      </c>
      <c r="AO655" t="s">
        <v>118</v>
      </c>
      <c r="AP655">
        <v>-11</v>
      </c>
      <c r="AQ655">
        <v>-87</v>
      </c>
      <c r="AR655">
        <v>64</v>
      </c>
      <c r="AZ655">
        <v>300</v>
      </c>
      <c r="BA655">
        <v>1</v>
      </c>
      <c r="BB655" t="str">
        <f t="shared" si="32"/>
        <v xml:space="preserve">N162AM  </v>
      </c>
      <c r="BC655">
        <v>1</v>
      </c>
      <c r="BE655">
        <v>0</v>
      </c>
      <c r="BF655">
        <v>0</v>
      </c>
      <c r="BG655">
        <v>0</v>
      </c>
      <c r="BH655">
        <v>1875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>"14:45:27.141"</f>
        <v>14:45:27.141</v>
      </c>
      <c r="CJ655">
        <v>3</v>
      </c>
      <c r="CK655">
        <v>2</v>
      </c>
      <c r="CL655">
        <v>0</v>
      </c>
      <c r="CM655">
        <v>2</v>
      </c>
      <c r="CN655">
        <v>0</v>
      </c>
      <c r="CO655">
        <v>3</v>
      </c>
      <c r="CP655" t="s">
        <v>119</v>
      </c>
      <c r="CQ655">
        <v>223</v>
      </c>
      <c r="CR655">
        <v>2</v>
      </c>
      <c r="CW655">
        <v>15163525</v>
      </c>
      <c r="CY655">
        <v>1</v>
      </c>
      <c r="CZ655">
        <v>0</v>
      </c>
      <c r="DA655">
        <v>1</v>
      </c>
      <c r="DB655">
        <v>0</v>
      </c>
      <c r="DC655">
        <v>0</v>
      </c>
      <c r="DD655">
        <v>1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"12/16/2021 14:45:27.436"</f>
        <v>12/16/2021 14:45:27.436</v>
      </c>
      <c r="C656" t="str">
        <f t="shared" si="31"/>
        <v>FFDFD3C0</v>
      </c>
      <c r="D656" t="s">
        <v>113</v>
      </c>
      <c r="E656">
        <v>8</v>
      </c>
      <c r="H656">
        <v>176</v>
      </c>
      <c r="I656" t="s">
        <v>114</v>
      </c>
      <c r="J656" t="s">
        <v>115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"14:45:27.141"</f>
        <v>14:45:27.141</v>
      </c>
      <c r="T656" t="str">
        <f>"14:45:26.641"</f>
        <v>14:45:26.641</v>
      </c>
      <c r="U656" t="str">
        <f t="shared" si="30"/>
        <v>A0F928</v>
      </c>
      <c r="V656">
        <v>0</v>
      </c>
      <c r="W656">
        <v>0</v>
      </c>
      <c r="X656">
        <v>2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1</v>
      </c>
      <c r="AI656" t="s">
        <v>444</v>
      </c>
      <c r="AJ656">
        <v>35.805987999999999</v>
      </c>
      <c r="AK656" t="s">
        <v>437</v>
      </c>
      <c r="AL656">
        <v>-83.934602999999996</v>
      </c>
      <c r="AM656">
        <v>25</v>
      </c>
      <c r="AN656">
        <v>1650</v>
      </c>
      <c r="AO656" t="s">
        <v>118</v>
      </c>
      <c r="AP656">
        <v>-11</v>
      </c>
      <c r="AQ656">
        <v>-87</v>
      </c>
      <c r="AR656">
        <v>64</v>
      </c>
      <c r="AZ656">
        <v>300</v>
      </c>
      <c r="BA656">
        <v>1</v>
      </c>
      <c r="BB656" t="str">
        <f t="shared" si="32"/>
        <v xml:space="preserve">N162AM  </v>
      </c>
      <c r="BC656">
        <v>1</v>
      </c>
      <c r="BE656">
        <v>0</v>
      </c>
      <c r="BF656">
        <v>0</v>
      </c>
      <c r="BG656">
        <v>0</v>
      </c>
      <c r="BH656">
        <v>1875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>"14:45:27.141"</f>
        <v>14:45:27.141</v>
      </c>
      <c r="CJ656">
        <v>3</v>
      </c>
      <c r="CK656">
        <v>2</v>
      </c>
      <c r="CL656">
        <v>0</v>
      </c>
      <c r="CM656">
        <v>2</v>
      </c>
      <c r="CN656">
        <v>0</v>
      </c>
      <c r="CO656">
        <v>3</v>
      </c>
      <c r="CP656" t="s">
        <v>119</v>
      </c>
      <c r="CQ656">
        <v>223</v>
      </c>
      <c r="CR656">
        <v>2</v>
      </c>
      <c r="CW656">
        <v>15163525</v>
      </c>
      <c r="CY656">
        <v>1</v>
      </c>
      <c r="CZ656">
        <v>0</v>
      </c>
      <c r="DA656">
        <v>1</v>
      </c>
      <c r="DB656">
        <v>0</v>
      </c>
      <c r="DC656">
        <v>0</v>
      </c>
      <c r="DD656">
        <v>1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"12/16/2021 14:45:28.296"</f>
        <v>12/16/2021 14:45:28.296</v>
      </c>
      <c r="C657" t="str">
        <f t="shared" si="31"/>
        <v>FFDFD3C0</v>
      </c>
      <c r="D657" t="s">
        <v>124</v>
      </c>
      <c r="E657">
        <v>10</v>
      </c>
      <c r="F657">
        <v>1010</v>
      </c>
      <c r="G657" t="s">
        <v>130</v>
      </c>
      <c r="J657" t="s">
        <v>125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"14:45:28.102"</f>
        <v>14:45:28.102</v>
      </c>
      <c r="T657" t="str">
        <f>"14:45:27.702"</f>
        <v>14:45:27.702</v>
      </c>
      <c r="U657" t="str">
        <f t="shared" si="30"/>
        <v>A0F928</v>
      </c>
      <c r="V657">
        <v>0</v>
      </c>
      <c r="W657">
        <v>0</v>
      </c>
      <c r="X657">
        <v>2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1</v>
      </c>
      <c r="AI657" t="s">
        <v>350</v>
      </c>
      <c r="AJ657">
        <v>35.805602</v>
      </c>
      <c r="AK657" t="s">
        <v>435</v>
      </c>
      <c r="AL657">
        <v>-83.934730999999999</v>
      </c>
      <c r="AM657">
        <v>25</v>
      </c>
      <c r="AN657">
        <v>1650</v>
      </c>
      <c r="AO657" t="s">
        <v>118</v>
      </c>
      <c r="AP657">
        <v>-18</v>
      </c>
      <c r="AQ657">
        <v>-86</v>
      </c>
      <c r="AR657">
        <v>64</v>
      </c>
      <c r="AZ657">
        <v>300</v>
      </c>
      <c r="BA657">
        <v>1</v>
      </c>
      <c r="BB657" t="str">
        <f t="shared" si="32"/>
        <v xml:space="preserve">N162AM  </v>
      </c>
      <c r="BC657">
        <v>1</v>
      </c>
      <c r="BE657">
        <v>0</v>
      </c>
      <c r="BF657">
        <v>0</v>
      </c>
      <c r="BG657">
        <v>0</v>
      </c>
      <c r="BH657">
        <v>1900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>"14:45:28.107"</f>
        <v>14:45:28.107</v>
      </c>
      <c r="CJ657">
        <v>3</v>
      </c>
      <c r="CK657">
        <v>2</v>
      </c>
      <c r="CL657">
        <v>0</v>
      </c>
      <c r="CM657">
        <v>2</v>
      </c>
      <c r="CN657">
        <v>0</v>
      </c>
      <c r="CO657">
        <v>5</v>
      </c>
      <c r="CP657" t="s">
        <v>119</v>
      </c>
      <c r="CQ657">
        <v>232</v>
      </c>
      <c r="CR657">
        <v>1</v>
      </c>
      <c r="CW657">
        <v>15085288</v>
      </c>
      <c r="CY657">
        <v>1</v>
      </c>
      <c r="CZ657">
        <v>0</v>
      </c>
      <c r="DA657">
        <v>0</v>
      </c>
      <c r="DB657">
        <v>0</v>
      </c>
      <c r="DC657">
        <v>0</v>
      </c>
      <c r="DD657">
        <v>1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"12/16/2021 14:45:28.327"</f>
        <v>12/16/2021 14:45:28.327</v>
      </c>
      <c r="C658" t="str">
        <f t="shared" si="31"/>
        <v>FFDFD3C0</v>
      </c>
      <c r="D658" t="s">
        <v>124</v>
      </c>
      <c r="E658">
        <v>5</v>
      </c>
      <c r="F658">
        <v>1005</v>
      </c>
      <c r="G658" t="s">
        <v>114</v>
      </c>
      <c r="J658" t="s">
        <v>125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"14:45:28.102"</f>
        <v>14:45:28.102</v>
      </c>
      <c r="T658" t="str">
        <f>"14:45:27.702"</f>
        <v>14:45:27.702</v>
      </c>
      <c r="U658" t="str">
        <f t="shared" si="30"/>
        <v>A0F928</v>
      </c>
      <c r="V658">
        <v>0</v>
      </c>
      <c r="W658">
        <v>0</v>
      </c>
      <c r="X658">
        <v>2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1</v>
      </c>
      <c r="AI658" t="s">
        <v>350</v>
      </c>
      <c r="AJ658">
        <v>35.805602</v>
      </c>
      <c r="AK658" t="s">
        <v>435</v>
      </c>
      <c r="AL658">
        <v>-83.934730999999999</v>
      </c>
      <c r="AM658">
        <v>25</v>
      </c>
      <c r="AN658">
        <v>1650</v>
      </c>
      <c r="AO658" t="s">
        <v>118</v>
      </c>
      <c r="AP658">
        <v>-18</v>
      </c>
      <c r="AQ658">
        <v>-86</v>
      </c>
      <c r="AR658">
        <v>64</v>
      </c>
      <c r="AZ658">
        <v>300</v>
      </c>
      <c r="BA658">
        <v>1</v>
      </c>
      <c r="BB658" t="str">
        <f t="shared" si="32"/>
        <v xml:space="preserve">N162AM  </v>
      </c>
      <c r="BC658">
        <v>1</v>
      </c>
      <c r="BE658">
        <v>0</v>
      </c>
      <c r="BF658">
        <v>0</v>
      </c>
      <c r="BG658">
        <v>0</v>
      </c>
      <c r="BH658">
        <v>1900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>"14:45:28.107"</f>
        <v>14:45:28.107</v>
      </c>
      <c r="CJ658">
        <v>3</v>
      </c>
      <c r="CK658">
        <v>2</v>
      </c>
      <c r="CL658">
        <v>0</v>
      </c>
      <c r="CM658">
        <v>2</v>
      </c>
      <c r="CN658">
        <v>0</v>
      </c>
      <c r="CO658">
        <v>5</v>
      </c>
      <c r="CP658" t="s">
        <v>119</v>
      </c>
      <c r="CQ658">
        <v>232</v>
      </c>
      <c r="CR658">
        <v>1</v>
      </c>
      <c r="CW658">
        <v>15085288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1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"12/16/2021 14:45:28.327"</f>
        <v>12/16/2021 14:45:28.327</v>
      </c>
      <c r="C659" t="str">
        <f t="shared" si="31"/>
        <v>FFDFD3C0</v>
      </c>
      <c r="D659" t="s">
        <v>113</v>
      </c>
      <c r="E659">
        <v>8</v>
      </c>
      <c r="H659">
        <v>176</v>
      </c>
      <c r="I659" t="s">
        <v>114</v>
      </c>
      <c r="J659" t="s">
        <v>115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"14:45:28.102"</f>
        <v>14:45:28.102</v>
      </c>
      <c r="T659" t="str">
        <f>"14:45:27.702"</f>
        <v>14:45:27.702</v>
      </c>
      <c r="U659" t="str">
        <f t="shared" si="30"/>
        <v>A0F928</v>
      </c>
      <c r="V659">
        <v>0</v>
      </c>
      <c r="W659">
        <v>0</v>
      </c>
      <c r="X659">
        <v>2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1</v>
      </c>
      <c r="AI659" t="s">
        <v>350</v>
      </c>
      <c r="AJ659">
        <v>35.805602</v>
      </c>
      <c r="AK659" t="s">
        <v>435</v>
      </c>
      <c r="AL659">
        <v>-83.934730999999999</v>
      </c>
      <c r="AM659">
        <v>25</v>
      </c>
      <c r="AN659">
        <v>1650</v>
      </c>
      <c r="AO659" t="s">
        <v>118</v>
      </c>
      <c r="AP659">
        <v>-18</v>
      </c>
      <c r="AQ659">
        <v>-86</v>
      </c>
      <c r="AR659">
        <v>64</v>
      </c>
      <c r="AZ659">
        <v>300</v>
      </c>
      <c r="BA659">
        <v>1</v>
      </c>
      <c r="BB659" t="str">
        <f t="shared" si="32"/>
        <v xml:space="preserve">N162AM  </v>
      </c>
      <c r="BC659">
        <v>1</v>
      </c>
      <c r="BE659">
        <v>0</v>
      </c>
      <c r="BF659">
        <v>0</v>
      </c>
      <c r="BG659">
        <v>0</v>
      </c>
      <c r="BH659">
        <v>1900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>"14:45:28.107"</f>
        <v>14:45:28.107</v>
      </c>
      <c r="CJ659">
        <v>3</v>
      </c>
      <c r="CK659">
        <v>2</v>
      </c>
      <c r="CL659">
        <v>0</v>
      </c>
      <c r="CM659">
        <v>2</v>
      </c>
      <c r="CN659">
        <v>0</v>
      </c>
      <c r="CO659">
        <v>5</v>
      </c>
      <c r="CP659" t="s">
        <v>119</v>
      </c>
      <c r="CQ659">
        <v>232</v>
      </c>
      <c r="CR659">
        <v>1</v>
      </c>
      <c r="CW659">
        <v>15085288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1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"12/16/2021 14:45:28.343"</f>
        <v>12/16/2021 14:45:28.343</v>
      </c>
      <c r="C660" t="str">
        <f t="shared" si="31"/>
        <v>FFDFD3C0</v>
      </c>
      <c r="D660" t="s">
        <v>133</v>
      </c>
      <c r="E660">
        <v>44</v>
      </c>
      <c r="H660">
        <v>131</v>
      </c>
      <c r="I660" t="s">
        <v>134</v>
      </c>
      <c r="J660" t="s">
        <v>135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"14:45:28.102"</f>
        <v>14:45:28.102</v>
      </c>
      <c r="T660" t="str">
        <f>"14:45:27.702"</f>
        <v>14:45:27.702</v>
      </c>
      <c r="U660" t="str">
        <f t="shared" si="30"/>
        <v>A0F928</v>
      </c>
      <c r="V660">
        <v>0</v>
      </c>
      <c r="W660">
        <v>0</v>
      </c>
      <c r="X660">
        <v>2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1</v>
      </c>
      <c r="AI660" t="s">
        <v>350</v>
      </c>
      <c r="AJ660">
        <v>35.805602</v>
      </c>
      <c r="AK660" t="s">
        <v>435</v>
      </c>
      <c r="AL660">
        <v>-83.934730999999999</v>
      </c>
      <c r="AM660">
        <v>25</v>
      </c>
      <c r="AN660">
        <v>1650</v>
      </c>
      <c r="AO660" t="s">
        <v>118</v>
      </c>
      <c r="AP660">
        <v>-18</v>
      </c>
      <c r="AQ660">
        <v>-86</v>
      </c>
      <c r="AR660">
        <v>64</v>
      </c>
      <c r="AZ660">
        <v>300</v>
      </c>
      <c r="BA660">
        <v>1</v>
      </c>
      <c r="BB660" t="str">
        <f t="shared" si="32"/>
        <v xml:space="preserve">N162AM  </v>
      </c>
      <c r="BC660">
        <v>1</v>
      </c>
      <c r="BE660">
        <v>0</v>
      </c>
      <c r="BF660">
        <v>0</v>
      </c>
      <c r="BG660">
        <v>0</v>
      </c>
      <c r="BH660">
        <v>1900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>"14:45:28.107"</f>
        <v>14:45:28.107</v>
      </c>
      <c r="CJ660">
        <v>3</v>
      </c>
      <c r="CK660">
        <v>2</v>
      </c>
      <c r="CL660">
        <v>0</v>
      </c>
      <c r="CM660">
        <v>2</v>
      </c>
      <c r="CN660">
        <v>0</v>
      </c>
      <c r="CO660">
        <v>5</v>
      </c>
      <c r="CP660" t="s">
        <v>119</v>
      </c>
      <c r="CQ660">
        <v>232</v>
      </c>
      <c r="CR660">
        <v>1</v>
      </c>
      <c r="CW660">
        <v>15085288</v>
      </c>
      <c r="CY660">
        <v>1</v>
      </c>
      <c r="CZ660">
        <v>0</v>
      </c>
      <c r="DA660">
        <v>1</v>
      </c>
      <c r="DB660">
        <v>0</v>
      </c>
      <c r="DC660">
        <v>0</v>
      </c>
      <c r="DD660">
        <v>1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"12/16/2021 14:45:29.312"</f>
        <v>12/16/2021 14:45:29.312</v>
      </c>
      <c r="C661" t="str">
        <f t="shared" si="31"/>
        <v>FFDFD3C0</v>
      </c>
      <c r="D661" t="s">
        <v>113</v>
      </c>
      <c r="E661">
        <v>8</v>
      </c>
      <c r="H661">
        <v>176</v>
      </c>
      <c r="I661" t="s">
        <v>114</v>
      </c>
      <c r="J661" t="s">
        <v>115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"14:45:29.125"</f>
        <v>14:45:29.125</v>
      </c>
      <c r="T661" t="str">
        <f>"14:45:28.725"</f>
        <v>14:45:28.725</v>
      </c>
      <c r="U661" t="str">
        <f t="shared" si="30"/>
        <v>A0F928</v>
      </c>
      <c r="V661">
        <v>0</v>
      </c>
      <c r="W661">
        <v>0</v>
      </c>
      <c r="X661">
        <v>2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1</v>
      </c>
      <c r="AI661" t="s">
        <v>445</v>
      </c>
      <c r="AJ661">
        <v>35.805194</v>
      </c>
      <c r="AK661" t="s">
        <v>446</v>
      </c>
      <c r="AL661">
        <v>-83.934838999999997</v>
      </c>
      <c r="AM661">
        <v>25</v>
      </c>
      <c r="AN661">
        <v>1625</v>
      </c>
      <c r="AO661" t="s">
        <v>118</v>
      </c>
      <c r="AP661">
        <v>-23</v>
      </c>
      <c r="AQ661">
        <v>-85</v>
      </c>
      <c r="AR661">
        <v>0</v>
      </c>
      <c r="AZ661">
        <v>300</v>
      </c>
      <c r="BA661">
        <v>1</v>
      </c>
      <c r="BB661" t="str">
        <f t="shared" si="32"/>
        <v xml:space="preserve">N162AM  </v>
      </c>
      <c r="BC661">
        <v>1</v>
      </c>
      <c r="BE661">
        <v>0</v>
      </c>
      <c r="BF661">
        <v>0</v>
      </c>
      <c r="BG661">
        <v>0</v>
      </c>
      <c r="BH661">
        <v>1900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>"14:45:29.131"</f>
        <v>14:45:29.131</v>
      </c>
      <c r="CJ661">
        <v>3</v>
      </c>
      <c r="CK661">
        <v>2</v>
      </c>
      <c r="CL661">
        <v>0</v>
      </c>
      <c r="CM661">
        <v>2</v>
      </c>
      <c r="CN661">
        <v>0</v>
      </c>
      <c r="CO661">
        <v>4</v>
      </c>
      <c r="CP661" t="s">
        <v>119</v>
      </c>
      <c r="CQ661">
        <v>232</v>
      </c>
      <c r="CR661">
        <v>1</v>
      </c>
      <c r="CW661">
        <v>15086930</v>
      </c>
      <c r="CY661">
        <v>1</v>
      </c>
      <c r="CZ661">
        <v>0</v>
      </c>
      <c r="DA661">
        <v>0</v>
      </c>
      <c r="DB661">
        <v>0</v>
      </c>
      <c r="DC661">
        <v>0</v>
      </c>
      <c r="DD661">
        <v>1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"12/16/2021 14:45:29.328"</f>
        <v>12/16/2021 14:45:29.328</v>
      </c>
      <c r="C662" t="str">
        <f t="shared" si="31"/>
        <v>FFDFD3C0</v>
      </c>
      <c r="D662" t="s">
        <v>133</v>
      </c>
      <c r="E662">
        <v>44</v>
      </c>
      <c r="H662">
        <v>131</v>
      </c>
      <c r="I662" t="s">
        <v>134</v>
      </c>
      <c r="J662" t="s">
        <v>135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"14:45:29.125"</f>
        <v>14:45:29.125</v>
      </c>
      <c r="T662" t="str">
        <f>"14:45:28.725"</f>
        <v>14:45:28.725</v>
      </c>
      <c r="U662" t="str">
        <f t="shared" si="30"/>
        <v>A0F928</v>
      </c>
      <c r="V662">
        <v>0</v>
      </c>
      <c r="W662">
        <v>0</v>
      </c>
      <c r="X662">
        <v>2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1</v>
      </c>
      <c r="AI662" t="s">
        <v>445</v>
      </c>
      <c r="AJ662">
        <v>35.805194</v>
      </c>
      <c r="AK662" t="s">
        <v>446</v>
      </c>
      <c r="AL662">
        <v>-83.934838999999997</v>
      </c>
      <c r="AM662">
        <v>25</v>
      </c>
      <c r="AN662">
        <v>1625</v>
      </c>
      <c r="AO662" t="s">
        <v>118</v>
      </c>
      <c r="AP662">
        <v>-23</v>
      </c>
      <c r="AQ662">
        <v>-85</v>
      </c>
      <c r="AR662">
        <v>0</v>
      </c>
      <c r="AZ662">
        <v>300</v>
      </c>
      <c r="BA662">
        <v>1</v>
      </c>
      <c r="BB662" t="str">
        <f t="shared" si="32"/>
        <v xml:space="preserve">N162AM  </v>
      </c>
      <c r="BC662">
        <v>1</v>
      </c>
      <c r="BE662">
        <v>0</v>
      </c>
      <c r="BF662">
        <v>0</v>
      </c>
      <c r="BG662">
        <v>0</v>
      </c>
      <c r="BH662">
        <v>1900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>"14:45:29.131"</f>
        <v>14:45:29.131</v>
      </c>
      <c r="CJ662">
        <v>3</v>
      </c>
      <c r="CK662">
        <v>2</v>
      </c>
      <c r="CL662">
        <v>0</v>
      </c>
      <c r="CM662">
        <v>2</v>
      </c>
      <c r="CN662">
        <v>0</v>
      </c>
      <c r="CO662">
        <v>4</v>
      </c>
      <c r="CP662" t="s">
        <v>119</v>
      </c>
      <c r="CQ662">
        <v>232</v>
      </c>
      <c r="CR662">
        <v>1</v>
      </c>
      <c r="CW662">
        <v>15086930</v>
      </c>
      <c r="CY662">
        <v>1</v>
      </c>
      <c r="CZ662">
        <v>0</v>
      </c>
      <c r="DA662">
        <v>1</v>
      </c>
      <c r="DB662">
        <v>0</v>
      </c>
      <c r="DC662">
        <v>0</v>
      </c>
      <c r="DD662">
        <v>1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"12/16/2021 14:45:29.375"</f>
        <v>12/16/2021 14:45:29.375</v>
      </c>
      <c r="C663" t="str">
        <f t="shared" si="31"/>
        <v>FFDFD3C0</v>
      </c>
      <c r="D663" t="s">
        <v>124</v>
      </c>
      <c r="E663">
        <v>10</v>
      </c>
      <c r="F663">
        <v>1010</v>
      </c>
      <c r="G663" t="s">
        <v>130</v>
      </c>
      <c r="J663" t="s">
        <v>125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"14:45:29.125"</f>
        <v>14:45:29.125</v>
      </c>
      <c r="T663" t="str">
        <f>"14:45:28.725"</f>
        <v>14:45:28.725</v>
      </c>
      <c r="U663" t="str">
        <f t="shared" si="30"/>
        <v>A0F928</v>
      </c>
      <c r="V663">
        <v>0</v>
      </c>
      <c r="W663">
        <v>0</v>
      </c>
      <c r="X663">
        <v>2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1</v>
      </c>
      <c r="AI663" t="s">
        <v>445</v>
      </c>
      <c r="AJ663">
        <v>35.805194</v>
      </c>
      <c r="AK663" t="s">
        <v>446</v>
      </c>
      <c r="AL663">
        <v>-83.934838999999997</v>
      </c>
      <c r="AM663">
        <v>25</v>
      </c>
      <c r="AN663">
        <v>1625</v>
      </c>
      <c r="AO663" t="s">
        <v>118</v>
      </c>
      <c r="AP663">
        <v>-23</v>
      </c>
      <c r="AQ663">
        <v>-85</v>
      </c>
      <c r="AR663">
        <v>0</v>
      </c>
      <c r="AZ663">
        <v>300</v>
      </c>
      <c r="BA663">
        <v>1</v>
      </c>
      <c r="BB663" t="str">
        <f t="shared" si="32"/>
        <v xml:space="preserve">N162AM  </v>
      </c>
      <c r="BC663">
        <v>1</v>
      </c>
      <c r="BE663">
        <v>0</v>
      </c>
      <c r="BF663">
        <v>0</v>
      </c>
      <c r="BG663">
        <v>0</v>
      </c>
      <c r="BH663">
        <v>1900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>"14:45:29.131"</f>
        <v>14:45:29.131</v>
      </c>
      <c r="CJ663">
        <v>3</v>
      </c>
      <c r="CK663">
        <v>2</v>
      </c>
      <c r="CL663">
        <v>0</v>
      </c>
      <c r="CM663">
        <v>2</v>
      </c>
      <c r="CN663">
        <v>0</v>
      </c>
      <c r="CO663">
        <v>4</v>
      </c>
      <c r="CP663" t="s">
        <v>119</v>
      </c>
      <c r="CQ663">
        <v>232</v>
      </c>
      <c r="CR663">
        <v>1</v>
      </c>
      <c r="CW663">
        <v>15086930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1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"12/16/2021 14:45:29.375"</f>
        <v>12/16/2021 14:45:29.375</v>
      </c>
      <c r="C664" t="str">
        <f t="shared" si="31"/>
        <v>FFDFD3C0</v>
      </c>
      <c r="D664" t="s">
        <v>124</v>
      </c>
      <c r="E664">
        <v>5</v>
      </c>
      <c r="F664">
        <v>1005</v>
      </c>
      <c r="G664" t="s">
        <v>114</v>
      </c>
      <c r="J664" t="s">
        <v>125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"14:45:29.125"</f>
        <v>14:45:29.125</v>
      </c>
      <c r="T664" t="str">
        <f>"14:45:28.725"</f>
        <v>14:45:28.725</v>
      </c>
      <c r="U664" t="str">
        <f t="shared" si="30"/>
        <v>A0F928</v>
      </c>
      <c r="V664">
        <v>0</v>
      </c>
      <c r="W664">
        <v>0</v>
      </c>
      <c r="X664">
        <v>2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1</v>
      </c>
      <c r="AI664" t="s">
        <v>445</v>
      </c>
      <c r="AJ664">
        <v>35.805194</v>
      </c>
      <c r="AK664" t="s">
        <v>446</v>
      </c>
      <c r="AL664">
        <v>-83.934838999999997</v>
      </c>
      <c r="AM664">
        <v>25</v>
      </c>
      <c r="AN664">
        <v>1625</v>
      </c>
      <c r="AO664" t="s">
        <v>118</v>
      </c>
      <c r="AP664">
        <v>-23</v>
      </c>
      <c r="AQ664">
        <v>-85</v>
      </c>
      <c r="AR664">
        <v>0</v>
      </c>
      <c r="AZ664">
        <v>300</v>
      </c>
      <c r="BA664">
        <v>1</v>
      </c>
      <c r="BB664" t="str">
        <f t="shared" si="32"/>
        <v xml:space="preserve">N162AM  </v>
      </c>
      <c r="BC664">
        <v>1</v>
      </c>
      <c r="BE664">
        <v>0</v>
      </c>
      <c r="BF664">
        <v>0</v>
      </c>
      <c r="BG664">
        <v>0</v>
      </c>
      <c r="BH664">
        <v>1900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>"14:45:29.131"</f>
        <v>14:45:29.131</v>
      </c>
      <c r="CJ664">
        <v>3</v>
      </c>
      <c r="CK664">
        <v>2</v>
      </c>
      <c r="CL664">
        <v>0</v>
      </c>
      <c r="CM664">
        <v>2</v>
      </c>
      <c r="CN664">
        <v>0</v>
      </c>
      <c r="CO664">
        <v>4</v>
      </c>
      <c r="CP664" t="s">
        <v>119</v>
      </c>
      <c r="CQ664">
        <v>232</v>
      </c>
      <c r="CR664">
        <v>1</v>
      </c>
      <c r="CW664">
        <v>15086930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1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"12/16/2021 14:45:30.396"</f>
        <v>12/16/2021 14:45:30.396</v>
      </c>
      <c r="C665" t="str">
        <f t="shared" si="31"/>
        <v>FFDFD3C0</v>
      </c>
      <c r="D665" t="s">
        <v>113</v>
      </c>
      <c r="E665">
        <v>8</v>
      </c>
      <c r="H665">
        <v>176</v>
      </c>
      <c r="I665" t="s">
        <v>114</v>
      </c>
      <c r="J665" t="s">
        <v>115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"14:45:30.195"</f>
        <v>14:45:30.195</v>
      </c>
      <c r="T665" t="str">
        <f>"14:45:29.695"</f>
        <v>14:45:29.695</v>
      </c>
      <c r="U665" t="str">
        <f t="shared" si="30"/>
        <v>A0F928</v>
      </c>
      <c r="V665">
        <v>0</v>
      </c>
      <c r="W665">
        <v>0</v>
      </c>
      <c r="X665">
        <v>2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1</v>
      </c>
      <c r="AI665" t="s">
        <v>346</v>
      </c>
      <c r="AJ665">
        <v>35.804765000000003</v>
      </c>
      <c r="AK665" t="s">
        <v>447</v>
      </c>
      <c r="AL665">
        <v>-83.935032000000007</v>
      </c>
      <c r="AM665">
        <v>25</v>
      </c>
      <c r="AN665">
        <v>1650</v>
      </c>
      <c r="AO665" t="s">
        <v>118</v>
      </c>
      <c r="AP665">
        <v>-28</v>
      </c>
      <c r="AQ665">
        <v>-84</v>
      </c>
      <c r="AR665">
        <v>-64</v>
      </c>
      <c r="AZ665">
        <v>300</v>
      </c>
      <c r="BA665">
        <v>1</v>
      </c>
      <c r="BB665" t="str">
        <f t="shared" si="32"/>
        <v xml:space="preserve">N162AM  </v>
      </c>
      <c r="BC665">
        <v>1</v>
      </c>
      <c r="BE665">
        <v>0</v>
      </c>
      <c r="BF665">
        <v>0</v>
      </c>
      <c r="BG665">
        <v>0</v>
      </c>
      <c r="BH665">
        <v>1900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>"14:45:30.198"</f>
        <v>14:45:30.198</v>
      </c>
      <c r="CJ665">
        <v>3</v>
      </c>
      <c r="CK665">
        <v>2</v>
      </c>
      <c r="CL665">
        <v>0</v>
      </c>
      <c r="CM665">
        <v>2</v>
      </c>
      <c r="CN665">
        <v>0</v>
      </c>
      <c r="CO665">
        <v>4</v>
      </c>
      <c r="CP665" t="s">
        <v>119</v>
      </c>
      <c r="CQ665">
        <v>232</v>
      </c>
      <c r="CR665">
        <v>2</v>
      </c>
      <c r="CW665">
        <v>6283119</v>
      </c>
      <c r="CY665">
        <v>1</v>
      </c>
      <c r="CZ665">
        <v>0</v>
      </c>
      <c r="DA665">
        <v>0</v>
      </c>
      <c r="DB665">
        <v>0</v>
      </c>
      <c r="DC665">
        <v>0</v>
      </c>
      <c r="DD665">
        <v>1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"12/16/2021 14:45:30.396"</f>
        <v>12/16/2021 14:45:30.396</v>
      </c>
      <c r="C666" t="str">
        <f t="shared" si="31"/>
        <v>FFDFD3C0</v>
      </c>
      <c r="D666" t="s">
        <v>124</v>
      </c>
      <c r="E666">
        <v>10</v>
      </c>
      <c r="F666">
        <v>1010</v>
      </c>
      <c r="G666" t="s">
        <v>130</v>
      </c>
      <c r="J666" t="s">
        <v>125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"14:45:30.195"</f>
        <v>14:45:30.195</v>
      </c>
      <c r="T666" t="str">
        <f>"14:45:29.695"</f>
        <v>14:45:29.695</v>
      </c>
      <c r="U666" t="str">
        <f t="shared" si="30"/>
        <v>A0F928</v>
      </c>
      <c r="V666">
        <v>0</v>
      </c>
      <c r="W666">
        <v>0</v>
      </c>
      <c r="X666">
        <v>2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1</v>
      </c>
      <c r="AI666" t="s">
        <v>346</v>
      </c>
      <c r="AJ666">
        <v>35.804765000000003</v>
      </c>
      <c r="AK666" t="s">
        <v>447</v>
      </c>
      <c r="AL666">
        <v>-83.935032000000007</v>
      </c>
      <c r="AM666">
        <v>25</v>
      </c>
      <c r="AN666">
        <v>1650</v>
      </c>
      <c r="AO666" t="s">
        <v>118</v>
      </c>
      <c r="AP666">
        <v>-28</v>
      </c>
      <c r="AQ666">
        <v>-84</v>
      </c>
      <c r="AR666">
        <v>-64</v>
      </c>
      <c r="AZ666">
        <v>300</v>
      </c>
      <c r="BA666">
        <v>1</v>
      </c>
      <c r="BB666" t="str">
        <f t="shared" si="32"/>
        <v xml:space="preserve">N162AM  </v>
      </c>
      <c r="BC666">
        <v>1</v>
      </c>
      <c r="BE666">
        <v>0</v>
      </c>
      <c r="BF666">
        <v>0</v>
      </c>
      <c r="BG666">
        <v>0</v>
      </c>
      <c r="BH666">
        <v>1900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>"14:45:30.198"</f>
        <v>14:45:30.198</v>
      </c>
      <c r="CJ666">
        <v>3</v>
      </c>
      <c r="CK666">
        <v>2</v>
      </c>
      <c r="CL666">
        <v>0</v>
      </c>
      <c r="CM666">
        <v>2</v>
      </c>
      <c r="CN666">
        <v>0</v>
      </c>
      <c r="CO666">
        <v>4</v>
      </c>
      <c r="CP666" t="s">
        <v>119</v>
      </c>
      <c r="CQ666">
        <v>232</v>
      </c>
      <c r="CR666">
        <v>2</v>
      </c>
      <c r="CW666">
        <v>6283119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1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"12/16/2021 14:45:30.412"</f>
        <v>12/16/2021 14:45:30.412</v>
      </c>
      <c r="C667" t="str">
        <f t="shared" si="31"/>
        <v>FFDFD3C0</v>
      </c>
      <c r="D667" t="s">
        <v>133</v>
      </c>
      <c r="E667">
        <v>44</v>
      </c>
      <c r="H667">
        <v>131</v>
      </c>
      <c r="I667" t="s">
        <v>134</v>
      </c>
      <c r="J667" t="s">
        <v>135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"14:45:30.195"</f>
        <v>14:45:30.195</v>
      </c>
      <c r="T667" t="str">
        <f>"14:45:29.695"</f>
        <v>14:45:29.695</v>
      </c>
      <c r="U667" t="str">
        <f t="shared" si="30"/>
        <v>A0F928</v>
      </c>
      <c r="V667">
        <v>0</v>
      </c>
      <c r="W667">
        <v>0</v>
      </c>
      <c r="X667">
        <v>2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1</v>
      </c>
      <c r="AI667" t="s">
        <v>346</v>
      </c>
      <c r="AJ667">
        <v>35.804765000000003</v>
      </c>
      <c r="AK667" t="s">
        <v>447</v>
      </c>
      <c r="AL667">
        <v>-83.935032000000007</v>
      </c>
      <c r="AM667">
        <v>25</v>
      </c>
      <c r="AN667">
        <v>1650</v>
      </c>
      <c r="AO667" t="s">
        <v>118</v>
      </c>
      <c r="AP667">
        <v>-28</v>
      </c>
      <c r="AQ667">
        <v>-84</v>
      </c>
      <c r="AR667">
        <v>-64</v>
      </c>
      <c r="AZ667">
        <v>300</v>
      </c>
      <c r="BA667">
        <v>1</v>
      </c>
      <c r="BB667" t="str">
        <f t="shared" si="32"/>
        <v xml:space="preserve">N162AM  </v>
      </c>
      <c r="BC667">
        <v>1</v>
      </c>
      <c r="BE667">
        <v>0</v>
      </c>
      <c r="BF667">
        <v>0</v>
      </c>
      <c r="BG667">
        <v>0</v>
      </c>
      <c r="BH667">
        <v>1900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>"14:45:30.198"</f>
        <v>14:45:30.198</v>
      </c>
      <c r="CJ667">
        <v>3</v>
      </c>
      <c r="CK667">
        <v>2</v>
      </c>
      <c r="CL667">
        <v>0</v>
      </c>
      <c r="CM667">
        <v>2</v>
      </c>
      <c r="CN667">
        <v>0</v>
      </c>
      <c r="CO667">
        <v>4</v>
      </c>
      <c r="CP667" t="s">
        <v>119</v>
      </c>
      <c r="CQ667">
        <v>232</v>
      </c>
      <c r="CR667">
        <v>2</v>
      </c>
      <c r="CW667">
        <v>6283119</v>
      </c>
      <c r="CY667">
        <v>1</v>
      </c>
      <c r="CZ667">
        <v>0</v>
      </c>
      <c r="DA667">
        <v>1</v>
      </c>
      <c r="DB667">
        <v>0</v>
      </c>
      <c r="DC667">
        <v>0</v>
      </c>
      <c r="DD667">
        <v>1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"12/16/2021 14:45:30.427"</f>
        <v>12/16/2021 14:45:30.427</v>
      </c>
      <c r="C668" t="str">
        <f t="shared" si="31"/>
        <v>FFDFD3C0</v>
      </c>
      <c r="D668" t="s">
        <v>124</v>
      </c>
      <c r="E668">
        <v>5</v>
      </c>
      <c r="F668">
        <v>1005</v>
      </c>
      <c r="G668" t="s">
        <v>114</v>
      </c>
      <c r="J668" t="s">
        <v>125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"14:45:30.195"</f>
        <v>14:45:30.195</v>
      </c>
      <c r="T668" t="str">
        <f>"14:45:29.695"</f>
        <v>14:45:29.695</v>
      </c>
      <c r="U668" t="str">
        <f t="shared" si="30"/>
        <v>A0F928</v>
      </c>
      <c r="V668">
        <v>0</v>
      </c>
      <c r="W668">
        <v>0</v>
      </c>
      <c r="X668">
        <v>2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1</v>
      </c>
      <c r="AI668" t="s">
        <v>346</v>
      </c>
      <c r="AJ668">
        <v>35.804765000000003</v>
      </c>
      <c r="AK668" t="s">
        <v>447</v>
      </c>
      <c r="AL668">
        <v>-83.935032000000007</v>
      </c>
      <c r="AM668">
        <v>25</v>
      </c>
      <c r="AN668">
        <v>1650</v>
      </c>
      <c r="AO668" t="s">
        <v>118</v>
      </c>
      <c r="AP668">
        <v>-28</v>
      </c>
      <c r="AQ668">
        <v>-84</v>
      </c>
      <c r="AR668">
        <v>-64</v>
      </c>
      <c r="AZ668">
        <v>300</v>
      </c>
      <c r="BA668">
        <v>1</v>
      </c>
      <c r="BB668" t="str">
        <f t="shared" si="32"/>
        <v xml:space="preserve">N162AM  </v>
      </c>
      <c r="BC668">
        <v>1</v>
      </c>
      <c r="BE668">
        <v>0</v>
      </c>
      <c r="BF668">
        <v>0</v>
      </c>
      <c r="BG668">
        <v>0</v>
      </c>
      <c r="BH668">
        <v>1900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>"14:45:30.198"</f>
        <v>14:45:30.198</v>
      </c>
      <c r="CJ668">
        <v>3</v>
      </c>
      <c r="CK668">
        <v>2</v>
      </c>
      <c r="CL668">
        <v>0</v>
      </c>
      <c r="CM668">
        <v>2</v>
      </c>
      <c r="CN668">
        <v>0</v>
      </c>
      <c r="CO668">
        <v>4</v>
      </c>
      <c r="CP668" t="s">
        <v>119</v>
      </c>
      <c r="CQ668">
        <v>232</v>
      </c>
      <c r="CR668">
        <v>2</v>
      </c>
      <c r="CW668">
        <v>6283119</v>
      </c>
      <c r="CY668">
        <v>1</v>
      </c>
      <c r="CZ668">
        <v>0</v>
      </c>
      <c r="DA668">
        <v>1</v>
      </c>
      <c r="DB668">
        <v>0</v>
      </c>
      <c r="DC668">
        <v>0</v>
      </c>
      <c r="DD668">
        <v>1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"12/16/2021 14:45:31.865"</f>
        <v>12/16/2021 14:45:31.865</v>
      </c>
      <c r="C669" t="str">
        <f t="shared" si="31"/>
        <v>FFDFD3C0</v>
      </c>
      <c r="D669" t="s">
        <v>124</v>
      </c>
      <c r="E669">
        <v>10</v>
      </c>
      <c r="F669">
        <v>1010</v>
      </c>
      <c r="G669" t="s">
        <v>130</v>
      </c>
      <c r="J669" t="s">
        <v>125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"14:45:31.633"</f>
        <v>14:45:31.633</v>
      </c>
      <c r="T669" t="str">
        <f>"14:45:31.233"</f>
        <v>14:45:31.233</v>
      </c>
      <c r="U669" t="str">
        <f t="shared" si="30"/>
        <v>A0F928</v>
      </c>
      <c r="V669">
        <v>0</v>
      </c>
      <c r="W669">
        <v>0</v>
      </c>
      <c r="X669">
        <v>2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1</v>
      </c>
      <c r="AI669" t="s">
        <v>448</v>
      </c>
      <c r="AJ669">
        <v>35.804250000000003</v>
      </c>
      <c r="AK669" t="s">
        <v>449</v>
      </c>
      <c r="AL669">
        <v>-83.935310999999999</v>
      </c>
      <c r="AM669">
        <v>25</v>
      </c>
      <c r="AN669">
        <v>1625</v>
      </c>
      <c r="AO669" t="s">
        <v>118</v>
      </c>
      <c r="AP669">
        <v>-36</v>
      </c>
      <c r="AQ669">
        <v>-82</v>
      </c>
      <c r="AR669">
        <v>-128</v>
      </c>
      <c r="AZ669">
        <v>300</v>
      </c>
      <c r="BA669">
        <v>1</v>
      </c>
      <c r="BB669" t="str">
        <f t="shared" si="32"/>
        <v xml:space="preserve">N162AM  </v>
      </c>
      <c r="BC669">
        <v>1</v>
      </c>
      <c r="BE669">
        <v>0</v>
      </c>
      <c r="BF669">
        <v>0</v>
      </c>
      <c r="BG669">
        <v>0</v>
      </c>
      <c r="BH669">
        <v>1900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>"14:45:31.639"</f>
        <v>14:45:31.639</v>
      </c>
      <c r="CJ669">
        <v>3</v>
      </c>
      <c r="CK669">
        <v>2</v>
      </c>
      <c r="CL669">
        <v>0</v>
      </c>
      <c r="CM669">
        <v>2</v>
      </c>
      <c r="CN669">
        <v>0</v>
      </c>
      <c r="CO669">
        <v>4</v>
      </c>
      <c r="CP669" t="s">
        <v>119</v>
      </c>
      <c r="CQ669">
        <v>232</v>
      </c>
      <c r="CR669">
        <v>1</v>
      </c>
      <c r="CW669">
        <v>15090848</v>
      </c>
      <c r="CY669">
        <v>1</v>
      </c>
      <c r="CZ669">
        <v>0</v>
      </c>
      <c r="DA669">
        <v>0</v>
      </c>
      <c r="DB669">
        <v>0</v>
      </c>
      <c r="DC669">
        <v>0</v>
      </c>
      <c r="DD669">
        <v>1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"12/16/2021 14:45:31.865"</f>
        <v>12/16/2021 14:45:31.865</v>
      </c>
      <c r="C670" t="str">
        <f t="shared" si="31"/>
        <v>FFDFD3C0</v>
      </c>
      <c r="D670" t="s">
        <v>124</v>
      </c>
      <c r="E670">
        <v>5</v>
      </c>
      <c r="F670">
        <v>1005</v>
      </c>
      <c r="G670" t="s">
        <v>114</v>
      </c>
      <c r="J670" t="s">
        <v>125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"14:45:31.633"</f>
        <v>14:45:31.633</v>
      </c>
      <c r="T670" t="str">
        <f>"14:45:31.233"</f>
        <v>14:45:31.233</v>
      </c>
      <c r="U670" t="str">
        <f t="shared" si="30"/>
        <v>A0F928</v>
      </c>
      <c r="V670">
        <v>0</v>
      </c>
      <c r="W670">
        <v>0</v>
      </c>
      <c r="X670">
        <v>2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1</v>
      </c>
      <c r="AI670" t="s">
        <v>448</v>
      </c>
      <c r="AJ670">
        <v>35.804250000000003</v>
      </c>
      <c r="AK670" t="s">
        <v>449</v>
      </c>
      <c r="AL670">
        <v>-83.935310999999999</v>
      </c>
      <c r="AM670">
        <v>25</v>
      </c>
      <c r="AN670">
        <v>1625</v>
      </c>
      <c r="AO670" t="s">
        <v>118</v>
      </c>
      <c r="AP670">
        <v>-36</v>
      </c>
      <c r="AQ670">
        <v>-82</v>
      </c>
      <c r="AR670">
        <v>-128</v>
      </c>
      <c r="AZ670">
        <v>300</v>
      </c>
      <c r="BA670">
        <v>1</v>
      </c>
      <c r="BB670" t="str">
        <f t="shared" si="32"/>
        <v xml:space="preserve">N162AM  </v>
      </c>
      <c r="BC670">
        <v>1</v>
      </c>
      <c r="BE670">
        <v>0</v>
      </c>
      <c r="BF670">
        <v>0</v>
      </c>
      <c r="BG670">
        <v>0</v>
      </c>
      <c r="BH670">
        <v>1900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>"14:45:31.639"</f>
        <v>14:45:31.639</v>
      </c>
      <c r="CJ670">
        <v>3</v>
      </c>
      <c r="CK670">
        <v>2</v>
      </c>
      <c r="CL670">
        <v>0</v>
      </c>
      <c r="CM670">
        <v>2</v>
      </c>
      <c r="CN670">
        <v>0</v>
      </c>
      <c r="CO670">
        <v>4</v>
      </c>
      <c r="CP670" t="s">
        <v>119</v>
      </c>
      <c r="CQ670">
        <v>232</v>
      </c>
      <c r="CR670">
        <v>1</v>
      </c>
      <c r="CW670">
        <v>15090848</v>
      </c>
      <c r="CY670">
        <v>1</v>
      </c>
      <c r="CZ670">
        <v>0</v>
      </c>
      <c r="DA670">
        <v>1</v>
      </c>
      <c r="DB670">
        <v>0</v>
      </c>
      <c r="DC670">
        <v>0</v>
      </c>
      <c r="DD670">
        <v>1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"12/16/2021 14:45:31.865"</f>
        <v>12/16/2021 14:45:31.865</v>
      </c>
      <c r="C671" t="str">
        <f t="shared" si="31"/>
        <v>FFDFD3C0</v>
      </c>
      <c r="D671" t="s">
        <v>113</v>
      </c>
      <c r="E671">
        <v>8</v>
      </c>
      <c r="H671">
        <v>176</v>
      </c>
      <c r="I671" t="s">
        <v>114</v>
      </c>
      <c r="J671" t="s">
        <v>115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"14:45:31.633"</f>
        <v>14:45:31.633</v>
      </c>
      <c r="T671" t="str">
        <f>"14:45:31.233"</f>
        <v>14:45:31.233</v>
      </c>
      <c r="U671" t="str">
        <f t="shared" si="30"/>
        <v>A0F928</v>
      </c>
      <c r="V671">
        <v>0</v>
      </c>
      <c r="W671">
        <v>0</v>
      </c>
      <c r="X671">
        <v>2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1</v>
      </c>
      <c r="AI671" t="s">
        <v>448</v>
      </c>
      <c r="AJ671">
        <v>35.804250000000003</v>
      </c>
      <c r="AK671" t="s">
        <v>449</v>
      </c>
      <c r="AL671">
        <v>-83.935310999999999</v>
      </c>
      <c r="AM671">
        <v>25</v>
      </c>
      <c r="AN671">
        <v>1625</v>
      </c>
      <c r="AO671" t="s">
        <v>118</v>
      </c>
      <c r="AP671">
        <v>-36</v>
      </c>
      <c r="AQ671">
        <v>-82</v>
      </c>
      <c r="AR671">
        <v>-128</v>
      </c>
      <c r="AZ671">
        <v>300</v>
      </c>
      <c r="BA671">
        <v>1</v>
      </c>
      <c r="BB671" t="str">
        <f t="shared" si="32"/>
        <v xml:space="preserve">N162AM  </v>
      </c>
      <c r="BC671">
        <v>1</v>
      </c>
      <c r="BE671">
        <v>0</v>
      </c>
      <c r="BF671">
        <v>0</v>
      </c>
      <c r="BG671">
        <v>0</v>
      </c>
      <c r="BH671">
        <v>1900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>"14:45:31.639"</f>
        <v>14:45:31.639</v>
      </c>
      <c r="CJ671">
        <v>3</v>
      </c>
      <c r="CK671">
        <v>2</v>
      </c>
      <c r="CL671">
        <v>0</v>
      </c>
      <c r="CM671">
        <v>2</v>
      </c>
      <c r="CN671">
        <v>0</v>
      </c>
      <c r="CO671">
        <v>4</v>
      </c>
      <c r="CP671" t="s">
        <v>119</v>
      </c>
      <c r="CQ671">
        <v>232</v>
      </c>
      <c r="CR671">
        <v>1</v>
      </c>
      <c r="CW671">
        <v>15090848</v>
      </c>
      <c r="CY671">
        <v>1</v>
      </c>
      <c r="CZ671">
        <v>0</v>
      </c>
      <c r="DA671">
        <v>1</v>
      </c>
      <c r="DB671">
        <v>0</v>
      </c>
      <c r="DC671">
        <v>0</v>
      </c>
      <c r="DD671">
        <v>1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"12/16/2021 14:45:31.865"</f>
        <v>12/16/2021 14:45:31.865</v>
      </c>
      <c r="C672" t="str">
        <f t="shared" si="31"/>
        <v>FFDFD3C0</v>
      </c>
      <c r="D672" t="s">
        <v>133</v>
      </c>
      <c r="E672">
        <v>44</v>
      </c>
      <c r="H672">
        <v>131</v>
      </c>
      <c r="I672" t="s">
        <v>134</v>
      </c>
      <c r="J672" t="s">
        <v>135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"14:45:31.633"</f>
        <v>14:45:31.633</v>
      </c>
      <c r="T672" t="str">
        <f>"14:45:31.233"</f>
        <v>14:45:31.233</v>
      </c>
      <c r="U672" t="str">
        <f t="shared" si="30"/>
        <v>A0F928</v>
      </c>
      <c r="V672">
        <v>0</v>
      </c>
      <c r="W672">
        <v>0</v>
      </c>
      <c r="X672">
        <v>2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1</v>
      </c>
      <c r="AI672" t="s">
        <v>448</v>
      </c>
      <c r="AJ672">
        <v>35.804250000000003</v>
      </c>
      <c r="AK672" t="s">
        <v>449</v>
      </c>
      <c r="AL672">
        <v>-83.935310999999999</v>
      </c>
      <c r="AM672">
        <v>25</v>
      </c>
      <c r="AN672">
        <v>1625</v>
      </c>
      <c r="AO672" t="s">
        <v>118</v>
      </c>
      <c r="AP672">
        <v>-36</v>
      </c>
      <c r="AQ672">
        <v>-82</v>
      </c>
      <c r="AR672">
        <v>-128</v>
      </c>
      <c r="AZ672">
        <v>300</v>
      </c>
      <c r="BA672">
        <v>1</v>
      </c>
      <c r="BB672" t="str">
        <f t="shared" si="32"/>
        <v xml:space="preserve">N162AM  </v>
      </c>
      <c r="BC672">
        <v>1</v>
      </c>
      <c r="BE672">
        <v>0</v>
      </c>
      <c r="BF672">
        <v>0</v>
      </c>
      <c r="BG672">
        <v>0</v>
      </c>
      <c r="BH672">
        <v>1900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>"14:45:31.639"</f>
        <v>14:45:31.639</v>
      </c>
      <c r="CJ672">
        <v>3</v>
      </c>
      <c r="CK672">
        <v>2</v>
      </c>
      <c r="CL672">
        <v>0</v>
      </c>
      <c r="CM672">
        <v>2</v>
      </c>
      <c r="CN672">
        <v>0</v>
      </c>
      <c r="CO672">
        <v>4</v>
      </c>
      <c r="CP672" t="s">
        <v>119</v>
      </c>
      <c r="CQ672">
        <v>232</v>
      </c>
      <c r="CR672">
        <v>1</v>
      </c>
      <c r="CW672">
        <v>15090848</v>
      </c>
      <c r="CY672">
        <v>1</v>
      </c>
      <c r="CZ672">
        <v>0</v>
      </c>
      <c r="DA672">
        <v>1</v>
      </c>
      <c r="DB672">
        <v>0</v>
      </c>
      <c r="DC672">
        <v>0</v>
      </c>
      <c r="DD672">
        <v>1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"12/16/2021 14:45:33.474"</f>
        <v>12/16/2021 14:45:33.474</v>
      </c>
      <c r="C673" t="str">
        <f t="shared" si="31"/>
        <v>FFDFD3C0</v>
      </c>
      <c r="D673" t="s">
        <v>124</v>
      </c>
      <c r="E673">
        <v>5</v>
      </c>
      <c r="F673">
        <v>1005</v>
      </c>
      <c r="G673" t="s">
        <v>114</v>
      </c>
      <c r="J673" t="s">
        <v>125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"14:45:33.242"</f>
        <v>14:45:33.242</v>
      </c>
      <c r="T673" t="str">
        <f>"14:45:32.742"</f>
        <v>14:45:32.742</v>
      </c>
      <c r="U673" t="str">
        <f t="shared" si="30"/>
        <v>A0F928</v>
      </c>
      <c r="V673">
        <v>0</v>
      </c>
      <c r="W673">
        <v>0</v>
      </c>
      <c r="X673">
        <v>2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1</v>
      </c>
      <c r="AI673" t="s">
        <v>450</v>
      </c>
      <c r="AJ673">
        <v>35.803607</v>
      </c>
      <c r="AK673" t="s">
        <v>451</v>
      </c>
      <c r="AL673">
        <v>-83.935719000000006</v>
      </c>
      <c r="AM673">
        <v>25</v>
      </c>
      <c r="AN673">
        <v>1625</v>
      </c>
      <c r="AO673" t="s">
        <v>118</v>
      </c>
      <c r="AP673">
        <v>-44</v>
      </c>
      <c r="AQ673">
        <v>-78</v>
      </c>
      <c r="AR673">
        <v>-128</v>
      </c>
      <c r="AZ673">
        <v>300</v>
      </c>
      <c r="BA673">
        <v>1</v>
      </c>
      <c r="BB673" t="str">
        <f t="shared" si="32"/>
        <v xml:space="preserve">N162AM  </v>
      </c>
      <c r="BC673">
        <v>1</v>
      </c>
      <c r="BE673">
        <v>0</v>
      </c>
      <c r="BF673">
        <v>0</v>
      </c>
      <c r="BG673">
        <v>0</v>
      </c>
      <c r="BH673">
        <v>1875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>"14:45:33.248"</f>
        <v>14:45:33.248</v>
      </c>
      <c r="CJ673">
        <v>3</v>
      </c>
      <c r="CK673">
        <v>2</v>
      </c>
      <c r="CL673">
        <v>0</v>
      </c>
      <c r="CM673">
        <v>2</v>
      </c>
      <c r="CN673">
        <v>0</v>
      </c>
      <c r="CO673">
        <v>4</v>
      </c>
      <c r="CP673" t="s">
        <v>119</v>
      </c>
      <c r="CQ673">
        <v>232</v>
      </c>
      <c r="CR673">
        <v>2</v>
      </c>
      <c r="CW673">
        <v>6287634</v>
      </c>
      <c r="CY673">
        <v>1</v>
      </c>
      <c r="CZ673">
        <v>0</v>
      </c>
      <c r="DA673">
        <v>0</v>
      </c>
      <c r="DB673">
        <v>0</v>
      </c>
      <c r="DC673">
        <v>0</v>
      </c>
      <c r="DD673">
        <v>1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"12/16/2021 14:45:33.474"</f>
        <v>12/16/2021 14:45:33.474</v>
      </c>
      <c r="C674" t="str">
        <f t="shared" si="31"/>
        <v>FFDFD3C0</v>
      </c>
      <c r="D674" t="s">
        <v>124</v>
      </c>
      <c r="E674">
        <v>10</v>
      </c>
      <c r="F674">
        <v>1010</v>
      </c>
      <c r="G674" t="s">
        <v>130</v>
      </c>
      <c r="J674" t="s">
        <v>125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"14:45:33.242"</f>
        <v>14:45:33.242</v>
      </c>
      <c r="T674" t="str">
        <f>"14:45:32.742"</f>
        <v>14:45:32.742</v>
      </c>
      <c r="U674" t="str">
        <f t="shared" si="30"/>
        <v>A0F928</v>
      </c>
      <c r="V674">
        <v>0</v>
      </c>
      <c r="W674">
        <v>0</v>
      </c>
      <c r="X674">
        <v>2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0</v>
      </c>
      <c r="AG674">
        <v>2</v>
      </c>
      <c r="AH674">
        <v>1</v>
      </c>
      <c r="AI674" t="s">
        <v>450</v>
      </c>
      <c r="AJ674">
        <v>35.803607</v>
      </c>
      <c r="AK674" t="s">
        <v>451</v>
      </c>
      <c r="AL674">
        <v>-83.935719000000006</v>
      </c>
      <c r="AM674">
        <v>25</v>
      </c>
      <c r="AN674">
        <v>1625</v>
      </c>
      <c r="AO674" t="s">
        <v>118</v>
      </c>
      <c r="AP674">
        <v>-44</v>
      </c>
      <c r="AQ674">
        <v>-78</v>
      </c>
      <c r="AR674">
        <v>-128</v>
      </c>
      <c r="AZ674">
        <v>300</v>
      </c>
      <c r="BA674">
        <v>1</v>
      </c>
      <c r="BB674" t="str">
        <f t="shared" si="32"/>
        <v xml:space="preserve">N162AM  </v>
      </c>
      <c r="BC674">
        <v>1</v>
      </c>
      <c r="BE674">
        <v>0</v>
      </c>
      <c r="BF674">
        <v>0</v>
      </c>
      <c r="BG674">
        <v>0</v>
      </c>
      <c r="BH674">
        <v>1875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>"14:45:33.248"</f>
        <v>14:45:33.248</v>
      </c>
      <c r="CJ674">
        <v>2</v>
      </c>
      <c r="CK674">
        <v>2</v>
      </c>
      <c r="CL674">
        <v>0</v>
      </c>
      <c r="CM674">
        <v>2</v>
      </c>
      <c r="CN674">
        <v>0</v>
      </c>
      <c r="CO674">
        <v>4</v>
      </c>
      <c r="CP674" t="s">
        <v>119</v>
      </c>
      <c r="CQ674">
        <v>232</v>
      </c>
      <c r="CR674">
        <v>2</v>
      </c>
      <c r="CW674">
        <v>6287634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1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"12/16/2021 14:45:33.474"</f>
        <v>12/16/2021 14:45:33.474</v>
      </c>
      <c r="C675" t="str">
        <f t="shared" si="31"/>
        <v>FFDFD3C0</v>
      </c>
      <c r="D675" t="s">
        <v>113</v>
      </c>
      <c r="E675">
        <v>8</v>
      </c>
      <c r="H675">
        <v>176</v>
      </c>
      <c r="I675" t="s">
        <v>114</v>
      </c>
      <c r="J675" t="s">
        <v>115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"14:45:33.242"</f>
        <v>14:45:33.242</v>
      </c>
      <c r="T675" t="str">
        <f>"14:45:32.742"</f>
        <v>14:45:32.742</v>
      </c>
      <c r="U675" t="str">
        <f t="shared" si="30"/>
        <v>A0F928</v>
      </c>
      <c r="V675">
        <v>0</v>
      </c>
      <c r="W675">
        <v>0</v>
      </c>
      <c r="X675">
        <v>2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1</v>
      </c>
      <c r="AI675" t="s">
        <v>450</v>
      </c>
      <c r="AJ675">
        <v>35.803607</v>
      </c>
      <c r="AK675" t="s">
        <v>451</v>
      </c>
      <c r="AL675">
        <v>-83.935719000000006</v>
      </c>
      <c r="AM675">
        <v>25</v>
      </c>
      <c r="AN675">
        <v>1625</v>
      </c>
      <c r="AO675" t="s">
        <v>118</v>
      </c>
      <c r="AP675">
        <v>-44</v>
      </c>
      <c r="AQ675">
        <v>-78</v>
      </c>
      <c r="AR675">
        <v>-128</v>
      </c>
      <c r="AZ675">
        <v>300</v>
      </c>
      <c r="BA675">
        <v>1</v>
      </c>
      <c r="BB675" t="str">
        <f t="shared" si="32"/>
        <v xml:space="preserve">N162AM  </v>
      </c>
      <c r="BC675">
        <v>1</v>
      </c>
      <c r="BE675">
        <v>0</v>
      </c>
      <c r="BF675">
        <v>0</v>
      </c>
      <c r="BG675">
        <v>0</v>
      </c>
      <c r="BH675">
        <v>1875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>"14:45:33.248"</f>
        <v>14:45:33.248</v>
      </c>
      <c r="CJ675">
        <v>3</v>
      </c>
      <c r="CK675">
        <v>2</v>
      </c>
      <c r="CL675">
        <v>0</v>
      </c>
      <c r="CM675">
        <v>2</v>
      </c>
      <c r="CN675">
        <v>0</v>
      </c>
      <c r="CO675">
        <v>4</v>
      </c>
      <c r="CP675" t="s">
        <v>119</v>
      </c>
      <c r="CQ675">
        <v>232</v>
      </c>
      <c r="CR675">
        <v>2</v>
      </c>
      <c r="CW675">
        <v>6287634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1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"12/16/2021 14:45:33.474"</f>
        <v>12/16/2021 14:45:33.474</v>
      </c>
      <c r="C676" t="str">
        <f t="shared" si="31"/>
        <v>FFDFD3C0</v>
      </c>
      <c r="D676" t="s">
        <v>133</v>
      </c>
      <c r="E676">
        <v>44</v>
      </c>
      <c r="H676">
        <v>131</v>
      </c>
      <c r="I676" t="s">
        <v>134</v>
      </c>
      <c r="J676" t="s">
        <v>135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"14:45:33.242"</f>
        <v>14:45:33.242</v>
      </c>
      <c r="T676" t="str">
        <f>"14:45:32.742"</f>
        <v>14:45:32.742</v>
      </c>
      <c r="U676" t="str">
        <f t="shared" si="30"/>
        <v>A0F928</v>
      </c>
      <c r="V676">
        <v>0</v>
      </c>
      <c r="W676">
        <v>0</v>
      </c>
      <c r="X676">
        <v>2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1</v>
      </c>
      <c r="AI676" t="s">
        <v>450</v>
      </c>
      <c r="AJ676">
        <v>35.803607</v>
      </c>
      <c r="AK676" t="s">
        <v>451</v>
      </c>
      <c r="AL676">
        <v>-83.935719000000006</v>
      </c>
      <c r="AM676">
        <v>25</v>
      </c>
      <c r="AN676">
        <v>1625</v>
      </c>
      <c r="AO676" t="s">
        <v>118</v>
      </c>
      <c r="AP676">
        <v>-44</v>
      </c>
      <c r="AQ676">
        <v>-78</v>
      </c>
      <c r="AR676">
        <v>-128</v>
      </c>
      <c r="AZ676">
        <v>300</v>
      </c>
      <c r="BA676">
        <v>1</v>
      </c>
      <c r="BB676" t="str">
        <f t="shared" si="32"/>
        <v xml:space="preserve">N162AM  </v>
      </c>
      <c r="BC676">
        <v>1</v>
      </c>
      <c r="BE676">
        <v>0</v>
      </c>
      <c r="BF676">
        <v>0</v>
      </c>
      <c r="BG676">
        <v>0</v>
      </c>
      <c r="BH676">
        <v>1875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>"14:45:33.248"</f>
        <v>14:45:33.248</v>
      </c>
      <c r="CJ676">
        <v>3</v>
      </c>
      <c r="CK676">
        <v>2</v>
      </c>
      <c r="CL676">
        <v>0</v>
      </c>
      <c r="CM676">
        <v>2</v>
      </c>
      <c r="CN676">
        <v>0</v>
      </c>
      <c r="CO676">
        <v>4</v>
      </c>
      <c r="CP676" t="s">
        <v>119</v>
      </c>
      <c r="CQ676">
        <v>232</v>
      </c>
      <c r="CR676">
        <v>2</v>
      </c>
      <c r="CW676">
        <v>6287634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1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"12/16/2021 14:45:34.577"</f>
        <v>12/16/2021 14:45:34.577</v>
      </c>
      <c r="C677" t="str">
        <f t="shared" si="31"/>
        <v>FFDFD3C0</v>
      </c>
      <c r="D677" t="s">
        <v>113</v>
      </c>
      <c r="E677">
        <v>8</v>
      </c>
      <c r="H677">
        <v>176</v>
      </c>
      <c r="I677" t="s">
        <v>114</v>
      </c>
      <c r="J677" t="s">
        <v>115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"14:45:34.367"</f>
        <v>14:45:34.367</v>
      </c>
      <c r="T677" t="str">
        <f>"14:45:33.867"</f>
        <v>14:45:33.867</v>
      </c>
      <c r="U677" t="str">
        <f t="shared" si="30"/>
        <v>A0F928</v>
      </c>
      <c r="V677">
        <v>0</v>
      </c>
      <c r="W677">
        <v>0</v>
      </c>
      <c r="X677">
        <v>2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1</v>
      </c>
      <c r="AI677" t="s">
        <v>452</v>
      </c>
      <c r="AJ677">
        <v>35.803263000000001</v>
      </c>
      <c r="AK677" t="s">
        <v>424</v>
      </c>
      <c r="AL677">
        <v>-83.936062000000007</v>
      </c>
      <c r="AM677">
        <v>25</v>
      </c>
      <c r="AN677">
        <v>1625</v>
      </c>
      <c r="AO677" t="s">
        <v>118</v>
      </c>
      <c r="AP677">
        <v>-49</v>
      </c>
      <c r="AQ677">
        <v>-76</v>
      </c>
      <c r="AR677">
        <v>-128</v>
      </c>
      <c r="AZ677">
        <v>300</v>
      </c>
      <c r="BA677">
        <v>1</v>
      </c>
      <c r="BB677" t="str">
        <f t="shared" si="32"/>
        <v xml:space="preserve">N162AM  </v>
      </c>
      <c r="BC677">
        <v>1</v>
      </c>
      <c r="BE677">
        <v>0</v>
      </c>
      <c r="BF677">
        <v>0</v>
      </c>
      <c r="BG677">
        <v>0</v>
      </c>
      <c r="BH677">
        <v>1875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>"14:45:34.367"</f>
        <v>14:45:34.367</v>
      </c>
      <c r="CJ677">
        <v>3</v>
      </c>
      <c r="CK677">
        <v>2</v>
      </c>
      <c r="CL677">
        <v>0</v>
      </c>
      <c r="CM677">
        <v>2</v>
      </c>
      <c r="CN677">
        <v>0</v>
      </c>
      <c r="CO677">
        <v>5</v>
      </c>
      <c r="CP677" t="s">
        <v>119</v>
      </c>
      <c r="CQ677">
        <v>232</v>
      </c>
      <c r="CR677">
        <v>2</v>
      </c>
      <c r="CW677">
        <v>6289307</v>
      </c>
      <c r="CY677">
        <v>1</v>
      </c>
      <c r="CZ677">
        <v>0</v>
      </c>
      <c r="DA677">
        <v>0</v>
      </c>
      <c r="DB677">
        <v>0</v>
      </c>
      <c r="DC677">
        <v>0</v>
      </c>
      <c r="DD677">
        <v>1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"12/16/2021 14:45:34.589"</f>
        <v>12/16/2021 14:45:34.589</v>
      </c>
      <c r="C678" t="str">
        <f t="shared" si="31"/>
        <v>FFDFD3C0</v>
      </c>
      <c r="D678" t="s">
        <v>133</v>
      </c>
      <c r="E678">
        <v>44</v>
      </c>
      <c r="H678">
        <v>131</v>
      </c>
      <c r="I678" t="s">
        <v>134</v>
      </c>
      <c r="J678" t="s">
        <v>135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"14:45:34.367"</f>
        <v>14:45:34.367</v>
      </c>
      <c r="T678" t="str">
        <f>"14:45:33.867"</f>
        <v>14:45:33.867</v>
      </c>
      <c r="U678" t="str">
        <f t="shared" si="30"/>
        <v>A0F928</v>
      </c>
      <c r="V678">
        <v>0</v>
      </c>
      <c r="W678">
        <v>0</v>
      </c>
      <c r="X678">
        <v>2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1</v>
      </c>
      <c r="AI678" t="s">
        <v>452</v>
      </c>
      <c r="AJ678">
        <v>35.803263000000001</v>
      </c>
      <c r="AK678" t="s">
        <v>424</v>
      </c>
      <c r="AL678">
        <v>-83.936062000000007</v>
      </c>
      <c r="AM678">
        <v>25</v>
      </c>
      <c r="AN678">
        <v>1625</v>
      </c>
      <c r="AO678" t="s">
        <v>118</v>
      </c>
      <c r="AP678">
        <v>-49</v>
      </c>
      <c r="AQ678">
        <v>-76</v>
      </c>
      <c r="AR678">
        <v>-128</v>
      </c>
      <c r="AZ678">
        <v>300</v>
      </c>
      <c r="BA678">
        <v>1</v>
      </c>
      <c r="BB678" t="str">
        <f t="shared" si="32"/>
        <v xml:space="preserve">N162AM  </v>
      </c>
      <c r="BC678">
        <v>1</v>
      </c>
      <c r="BE678">
        <v>0</v>
      </c>
      <c r="BF678">
        <v>0</v>
      </c>
      <c r="BG678">
        <v>0</v>
      </c>
      <c r="BH678">
        <v>1875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>"14:45:34.367"</f>
        <v>14:45:34.367</v>
      </c>
      <c r="CJ678">
        <v>3</v>
      </c>
      <c r="CK678">
        <v>2</v>
      </c>
      <c r="CL678">
        <v>0</v>
      </c>
      <c r="CM678">
        <v>2</v>
      </c>
      <c r="CN678">
        <v>0</v>
      </c>
      <c r="CO678">
        <v>5</v>
      </c>
      <c r="CP678" t="s">
        <v>119</v>
      </c>
      <c r="CQ678">
        <v>232</v>
      </c>
      <c r="CR678">
        <v>2</v>
      </c>
      <c r="CW678">
        <v>6289307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1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"12/16/2021 14:45:34.630"</f>
        <v>12/16/2021 14:45:34.630</v>
      </c>
      <c r="C679" t="str">
        <f t="shared" si="31"/>
        <v>FFDFD3C0</v>
      </c>
      <c r="D679" t="s">
        <v>124</v>
      </c>
      <c r="E679">
        <v>5</v>
      </c>
      <c r="F679">
        <v>1005</v>
      </c>
      <c r="G679" t="s">
        <v>114</v>
      </c>
      <c r="J679" t="s">
        <v>125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"14:45:34.367"</f>
        <v>14:45:34.367</v>
      </c>
      <c r="T679" t="str">
        <f>"14:45:33.867"</f>
        <v>14:45:33.867</v>
      </c>
      <c r="U679" t="str">
        <f t="shared" si="30"/>
        <v>A0F928</v>
      </c>
      <c r="V679">
        <v>0</v>
      </c>
      <c r="W679">
        <v>0</v>
      </c>
      <c r="X679">
        <v>2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1</v>
      </c>
      <c r="AI679" t="s">
        <v>452</v>
      </c>
      <c r="AJ679">
        <v>35.803263000000001</v>
      </c>
      <c r="AK679" t="s">
        <v>424</v>
      </c>
      <c r="AL679">
        <v>-83.936062000000007</v>
      </c>
      <c r="AM679">
        <v>25</v>
      </c>
      <c r="AN679">
        <v>1625</v>
      </c>
      <c r="AO679" t="s">
        <v>118</v>
      </c>
      <c r="AP679">
        <v>-49</v>
      </c>
      <c r="AQ679">
        <v>-76</v>
      </c>
      <c r="AR679">
        <v>-128</v>
      </c>
      <c r="AZ679">
        <v>300</v>
      </c>
      <c r="BA679">
        <v>1</v>
      </c>
      <c r="BB679" t="str">
        <f t="shared" si="32"/>
        <v xml:space="preserve">N162AM  </v>
      </c>
      <c r="BC679">
        <v>1</v>
      </c>
      <c r="BE679">
        <v>0</v>
      </c>
      <c r="BF679">
        <v>0</v>
      </c>
      <c r="BG679">
        <v>0</v>
      </c>
      <c r="BH679">
        <v>1875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>"14:45:34.367"</f>
        <v>14:45:34.367</v>
      </c>
      <c r="CJ679">
        <v>3</v>
      </c>
      <c r="CK679">
        <v>2</v>
      </c>
      <c r="CL679">
        <v>0</v>
      </c>
      <c r="CM679">
        <v>2</v>
      </c>
      <c r="CN679">
        <v>0</v>
      </c>
      <c r="CO679">
        <v>5</v>
      </c>
      <c r="CP679" t="s">
        <v>119</v>
      </c>
      <c r="CQ679">
        <v>232</v>
      </c>
      <c r="CR679">
        <v>2</v>
      </c>
      <c r="CW679">
        <v>6289307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"12/16/2021 14:45:34.630"</f>
        <v>12/16/2021 14:45:34.630</v>
      </c>
      <c r="C680" t="str">
        <f t="shared" si="31"/>
        <v>FFDFD3C0</v>
      </c>
      <c r="D680" t="s">
        <v>124</v>
      </c>
      <c r="E680">
        <v>10</v>
      </c>
      <c r="F680">
        <v>1010</v>
      </c>
      <c r="G680" t="s">
        <v>130</v>
      </c>
      <c r="J680" t="s">
        <v>125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"14:45:34.367"</f>
        <v>14:45:34.367</v>
      </c>
      <c r="T680" t="str">
        <f>"14:45:33.867"</f>
        <v>14:45:33.867</v>
      </c>
      <c r="U680" t="str">
        <f t="shared" si="30"/>
        <v>A0F928</v>
      </c>
      <c r="V680">
        <v>0</v>
      </c>
      <c r="W680">
        <v>0</v>
      </c>
      <c r="X680">
        <v>2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1</v>
      </c>
      <c r="AI680" t="s">
        <v>452</v>
      </c>
      <c r="AJ680">
        <v>35.803263000000001</v>
      </c>
      <c r="AK680" t="s">
        <v>424</v>
      </c>
      <c r="AL680">
        <v>-83.936062000000007</v>
      </c>
      <c r="AM680">
        <v>25</v>
      </c>
      <c r="AN680">
        <v>1625</v>
      </c>
      <c r="AO680" t="s">
        <v>118</v>
      </c>
      <c r="AP680">
        <v>-49</v>
      </c>
      <c r="AQ680">
        <v>-76</v>
      </c>
      <c r="AR680">
        <v>-128</v>
      </c>
      <c r="AZ680">
        <v>300</v>
      </c>
      <c r="BA680">
        <v>1</v>
      </c>
      <c r="BB680" t="str">
        <f t="shared" si="32"/>
        <v xml:space="preserve">N162AM  </v>
      </c>
      <c r="BC680">
        <v>1</v>
      </c>
      <c r="BE680">
        <v>0</v>
      </c>
      <c r="BF680">
        <v>0</v>
      </c>
      <c r="BG680">
        <v>0</v>
      </c>
      <c r="BH680">
        <v>1875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>"14:45:34.367"</f>
        <v>14:45:34.367</v>
      </c>
      <c r="CJ680">
        <v>3</v>
      </c>
      <c r="CK680">
        <v>2</v>
      </c>
      <c r="CL680">
        <v>0</v>
      </c>
      <c r="CM680">
        <v>2</v>
      </c>
      <c r="CN680">
        <v>0</v>
      </c>
      <c r="CO680">
        <v>5</v>
      </c>
      <c r="CP680" t="s">
        <v>119</v>
      </c>
      <c r="CQ680">
        <v>232</v>
      </c>
      <c r="CR680">
        <v>2</v>
      </c>
      <c r="CW680">
        <v>6289307</v>
      </c>
      <c r="CY680">
        <v>1</v>
      </c>
      <c r="CZ680">
        <v>0</v>
      </c>
      <c r="DA680">
        <v>1</v>
      </c>
      <c r="DB680">
        <v>0</v>
      </c>
      <c r="DC680">
        <v>0</v>
      </c>
      <c r="DD680">
        <v>1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"12/16/2021 14:45:35.584"</f>
        <v>12/16/2021 14:45:35.584</v>
      </c>
      <c r="C681" t="str">
        <f t="shared" si="31"/>
        <v>FFDFD3C0</v>
      </c>
      <c r="D681" t="s">
        <v>124</v>
      </c>
      <c r="E681">
        <v>10</v>
      </c>
      <c r="F681">
        <v>1010</v>
      </c>
      <c r="G681" t="s">
        <v>130</v>
      </c>
      <c r="J681" t="s">
        <v>125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"14:45:35.344"</f>
        <v>14:45:35.344</v>
      </c>
      <c r="T681" t="str">
        <f>"14:45:34.944"</f>
        <v>14:45:34.944</v>
      </c>
      <c r="U681" t="str">
        <f t="shared" si="30"/>
        <v>A0F928</v>
      </c>
      <c r="V681">
        <v>0</v>
      </c>
      <c r="W681">
        <v>0</v>
      </c>
      <c r="X681">
        <v>2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1</v>
      </c>
      <c r="AI681" t="s">
        <v>453</v>
      </c>
      <c r="AJ681">
        <v>35.802877000000002</v>
      </c>
      <c r="AK681" t="s">
        <v>422</v>
      </c>
      <c r="AL681">
        <v>-83.936404999999993</v>
      </c>
      <c r="AM681">
        <v>25</v>
      </c>
      <c r="AN681">
        <v>1625</v>
      </c>
      <c r="AO681" t="s">
        <v>118</v>
      </c>
      <c r="AP681">
        <v>-56</v>
      </c>
      <c r="AQ681">
        <v>-73</v>
      </c>
      <c r="AR681">
        <v>-128</v>
      </c>
      <c r="AZ681">
        <v>300</v>
      </c>
      <c r="BA681">
        <v>1</v>
      </c>
      <c r="BB681" t="str">
        <f t="shared" si="32"/>
        <v xml:space="preserve">N162AM  </v>
      </c>
      <c r="BC681">
        <v>1</v>
      </c>
      <c r="BE681">
        <v>0</v>
      </c>
      <c r="BF681">
        <v>0</v>
      </c>
      <c r="BG681">
        <v>0</v>
      </c>
      <c r="BH681">
        <v>1875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>"14:45:35.350"</f>
        <v>14:45:35.350</v>
      </c>
      <c r="CJ681">
        <v>3</v>
      </c>
      <c r="CK681">
        <v>2</v>
      </c>
      <c r="CL681">
        <v>0</v>
      </c>
      <c r="CM681">
        <v>2</v>
      </c>
      <c r="CN681">
        <v>0</v>
      </c>
      <c r="CO681">
        <v>5</v>
      </c>
      <c r="CP681" t="s">
        <v>119</v>
      </c>
      <c r="CQ681">
        <v>232</v>
      </c>
      <c r="CR681">
        <v>2</v>
      </c>
      <c r="CW681">
        <v>6290781</v>
      </c>
      <c r="CY681">
        <v>1</v>
      </c>
      <c r="CZ681">
        <v>0</v>
      </c>
      <c r="DA681">
        <v>0</v>
      </c>
      <c r="DB681">
        <v>0</v>
      </c>
      <c r="DC681">
        <v>0</v>
      </c>
      <c r="DD681">
        <v>1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"12/16/2021 14:45:35.599"</f>
        <v>12/16/2021 14:45:35.599</v>
      </c>
      <c r="C682" t="str">
        <f t="shared" si="31"/>
        <v>FFDFD3C0</v>
      </c>
      <c r="D682" t="s">
        <v>113</v>
      </c>
      <c r="E682">
        <v>8</v>
      </c>
      <c r="H682">
        <v>176</v>
      </c>
      <c r="I682" t="s">
        <v>114</v>
      </c>
      <c r="J682" t="s">
        <v>115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"14:45:35.344"</f>
        <v>14:45:35.344</v>
      </c>
      <c r="T682" t="str">
        <f>"14:45:34.944"</f>
        <v>14:45:34.944</v>
      </c>
      <c r="U682" t="str">
        <f t="shared" si="30"/>
        <v>A0F928</v>
      </c>
      <c r="V682">
        <v>0</v>
      </c>
      <c r="W682">
        <v>0</v>
      </c>
      <c r="X682">
        <v>2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1</v>
      </c>
      <c r="AI682" t="s">
        <v>453</v>
      </c>
      <c r="AJ682">
        <v>35.802877000000002</v>
      </c>
      <c r="AK682" t="s">
        <v>422</v>
      </c>
      <c r="AL682">
        <v>-83.936404999999993</v>
      </c>
      <c r="AM682">
        <v>25</v>
      </c>
      <c r="AN682">
        <v>1625</v>
      </c>
      <c r="AO682" t="s">
        <v>118</v>
      </c>
      <c r="AP682">
        <v>-56</v>
      </c>
      <c r="AQ682">
        <v>-73</v>
      </c>
      <c r="AR682">
        <v>-128</v>
      </c>
      <c r="AZ682">
        <v>300</v>
      </c>
      <c r="BA682">
        <v>1</v>
      </c>
      <c r="BB682" t="str">
        <f t="shared" si="32"/>
        <v xml:space="preserve">N162AM  </v>
      </c>
      <c r="BC682">
        <v>1</v>
      </c>
      <c r="BE682">
        <v>0</v>
      </c>
      <c r="BF682">
        <v>0</v>
      </c>
      <c r="BG682">
        <v>0</v>
      </c>
      <c r="BH682">
        <v>1875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>"14:45:35.350"</f>
        <v>14:45:35.350</v>
      </c>
      <c r="CJ682">
        <v>3</v>
      </c>
      <c r="CK682">
        <v>2</v>
      </c>
      <c r="CL682">
        <v>0</v>
      </c>
      <c r="CM682">
        <v>2</v>
      </c>
      <c r="CN682">
        <v>0</v>
      </c>
      <c r="CO682">
        <v>5</v>
      </c>
      <c r="CP682" t="s">
        <v>119</v>
      </c>
      <c r="CQ682">
        <v>232</v>
      </c>
      <c r="CR682">
        <v>2</v>
      </c>
      <c r="CW682">
        <v>6290781</v>
      </c>
      <c r="CY682">
        <v>1</v>
      </c>
      <c r="CZ682">
        <v>0</v>
      </c>
      <c r="DA682">
        <v>1</v>
      </c>
      <c r="DB682">
        <v>0</v>
      </c>
      <c r="DC682">
        <v>0</v>
      </c>
      <c r="DD682">
        <v>1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"12/16/2021 14:45:35.630"</f>
        <v>12/16/2021 14:45:35.630</v>
      </c>
      <c r="C683" t="str">
        <f t="shared" si="31"/>
        <v>FFDFD3C0</v>
      </c>
      <c r="D683" t="s">
        <v>133</v>
      </c>
      <c r="E683">
        <v>44</v>
      </c>
      <c r="H683">
        <v>131</v>
      </c>
      <c r="I683" t="s">
        <v>134</v>
      </c>
      <c r="J683" t="s">
        <v>135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"14:45:35.344"</f>
        <v>14:45:35.344</v>
      </c>
      <c r="T683" t="str">
        <f>"14:45:34.944"</f>
        <v>14:45:34.944</v>
      </c>
      <c r="U683" t="str">
        <f t="shared" si="30"/>
        <v>A0F928</v>
      </c>
      <c r="V683">
        <v>0</v>
      </c>
      <c r="W683">
        <v>0</v>
      </c>
      <c r="X683">
        <v>2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1</v>
      </c>
      <c r="AI683" t="s">
        <v>453</v>
      </c>
      <c r="AJ683">
        <v>35.802877000000002</v>
      </c>
      <c r="AK683" t="s">
        <v>422</v>
      </c>
      <c r="AL683">
        <v>-83.936404999999993</v>
      </c>
      <c r="AM683">
        <v>25</v>
      </c>
      <c r="AN683">
        <v>1625</v>
      </c>
      <c r="AO683" t="s">
        <v>118</v>
      </c>
      <c r="AP683">
        <v>-56</v>
      </c>
      <c r="AQ683">
        <v>-73</v>
      </c>
      <c r="AR683">
        <v>-128</v>
      </c>
      <c r="AZ683">
        <v>300</v>
      </c>
      <c r="BA683">
        <v>1</v>
      </c>
      <c r="BB683" t="str">
        <f t="shared" si="32"/>
        <v xml:space="preserve">N162AM  </v>
      </c>
      <c r="BC683">
        <v>1</v>
      </c>
      <c r="BE683">
        <v>0</v>
      </c>
      <c r="BF683">
        <v>0</v>
      </c>
      <c r="BG683">
        <v>0</v>
      </c>
      <c r="BH683">
        <v>1875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>"14:45:35.350"</f>
        <v>14:45:35.350</v>
      </c>
      <c r="CJ683">
        <v>3</v>
      </c>
      <c r="CK683">
        <v>2</v>
      </c>
      <c r="CL683">
        <v>0</v>
      </c>
      <c r="CM683">
        <v>2</v>
      </c>
      <c r="CN683">
        <v>0</v>
      </c>
      <c r="CO683">
        <v>5</v>
      </c>
      <c r="CP683" t="s">
        <v>119</v>
      </c>
      <c r="CQ683">
        <v>232</v>
      </c>
      <c r="CR683">
        <v>2</v>
      </c>
      <c r="CW683">
        <v>6290781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1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"12/16/2021 14:45:35.630"</f>
        <v>12/16/2021 14:45:35.630</v>
      </c>
      <c r="C684" t="str">
        <f t="shared" si="31"/>
        <v>FFDFD3C0</v>
      </c>
      <c r="D684" t="s">
        <v>124</v>
      </c>
      <c r="E684">
        <v>5</v>
      </c>
      <c r="F684">
        <v>1005</v>
      </c>
      <c r="G684" t="s">
        <v>114</v>
      </c>
      <c r="J684" t="s">
        <v>125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"14:45:35.344"</f>
        <v>14:45:35.344</v>
      </c>
      <c r="T684" t="str">
        <f>"14:45:34.944"</f>
        <v>14:45:34.944</v>
      </c>
      <c r="U684" t="str">
        <f t="shared" si="30"/>
        <v>A0F928</v>
      </c>
      <c r="V684">
        <v>0</v>
      </c>
      <c r="W684">
        <v>0</v>
      </c>
      <c r="X684">
        <v>2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1</v>
      </c>
      <c r="AI684" t="s">
        <v>453</v>
      </c>
      <c r="AJ684">
        <v>35.802877000000002</v>
      </c>
      <c r="AK684" t="s">
        <v>422</v>
      </c>
      <c r="AL684">
        <v>-83.936404999999993</v>
      </c>
      <c r="AM684">
        <v>25</v>
      </c>
      <c r="AN684">
        <v>1625</v>
      </c>
      <c r="AO684" t="s">
        <v>118</v>
      </c>
      <c r="AP684">
        <v>-56</v>
      </c>
      <c r="AQ684">
        <v>-73</v>
      </c>
      <c r="AR684">
        <v>-128</v>
      </c>
      <c r="AZ684">
        <v>300</v>
      </c>
      <c r="BA684">
        <v>1</v>
      </c>
      <c r="BB684" t="str">
        <f t="shared" si="32"/>
        <v xml:space="preserve">N162AM  </v>
      </c>
      <c r="BC684">
        <v>1</v>
      </c>
      <c r="BE684">
        <v>0</v>
      </c>
      <c r="BF684">
        <v>0</v>
      </c>
      <c r="BG684">
        <v>0</v>
      </c>
      <c r="BH684">
        <v>1875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>"14:45:35.350"</f>
        <v>14:45:35.350</v>
      </c>
      <c r="CJ684">
        <v>3</v>
      </c>
      <c r="CK684">
        <v>2</v>
      </c>
      <c r="CL684">
        <v>0</v>
      </c>
      <c r="CM684">
        <v>2</v>
      </c>
      <c r="CN684">
        <v>0</v>
      </c>
      <c r="CO684">
        <v>5</v>
      </c>
      <c r="CP684" t="s">
        <v>119</v>
      </c>
      <c r="CQ684">
        <v>232</v>
      </c>
      <c r="CR684">
        <v>2</v>
      </c>
      <c r="CW684">
        <v>6290781</v>
      </c>
      <c r="CY684">
        <v>1</v>
      </c>
      <c r="CZ684">
        <v>0</v>
      </c>
      <c r="DA684">
        <v>1</v>
      </c>
      <c r="DB684">
        <v>0</v>
      </c>
      <c r="DC684">
        <v>0</v>
      </c>
      <c r="DD684">
        <v>1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"12/16/2021 14:45:36.740"</f>
        <v>12/16/2021 14:45:36.740</v>
      </c>
      <c r="C685" t="str">
        <f t="shared" si="31"/>
        <v>FFDFD3C0</v>
      </c>
      <c r="D685" t="s">
        <v>113</v>
      </c>
      <c r="E685">
        <v>8</v>
      </c>
      <c r="H685">
        <v>176</v>
      </c>
      <c r="I685" t="s">
        <v>114</v>
      </c>
      <c r="J685" t="s">
        <v>115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"14:45:36.516"</f>
        <v>14:45:36.516</v>
      </c>
      <c r="T685" t="str">
        <f>"14:45:36.016"</f>
        <v>14:45:36.016</v>
      </c>
      <c r="U685" t="str">
        <f t="shared" si="30"/>
        <v>A0F928</v>
      </c>
      <c r="V685">
        <v>0</v>
      </c>
      <c r="W685">
        <v>0</v>
      </c>
      <c r="X685">
        <v>2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1</v>
      </c>
      <c r="AI685" t="s">
        <v>454</v>
      </c>
      <c r="AJ685">
        <v>35.802534000000001</v>
      </c>
      <c r="AK685" t="s">
        <v>455</v>
      </c>
      <c r="AL685">
        <v>-83.936769999999996</v>
      </c>
      <c r="AM685">
        <v>25</v>
      </c>
      <c r="AN685">
        <v>1600</v>
      </c>
      <c r="AO685" t="s">
        <v>118</v>
      </c>
      <c r="AP685">
        <v>-61</v>
      </c>
      <c r="AQ685">
        <v>-70</v>
      </c>
      <c r="AR685">
        <v>-128</v>
      </c>
      <c r="AZ685">
        <v>300</v>
      </c>
      <c r="BA685">
        <v>1</v>
      </c>
      <c r="BB685" t="str">
        <f t="shared" si="32"/>
        <v xml:space="preserve">N162AM  </v>
      </c>
      <c r="BC685">
        <v>1</v>
      </c>
      <c r="BE685">
        <v>0</v>
      </c>
      <c r="BF685">
        <v>0</v>
      </c>
      <c r="BG685">
        <v>0</v>
      </c>
      <c r="BH685">
        <v>1875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>"14:45:36.519"</f>
        <v>14:45:36.519</v>
      </c>
      <c r="CJ685">
        <v>3</v>
      </c>
      <c r="CK685">
        <v>2</v>
      </c>
      <c r="CL685">
        <v>0</v>
      </c>
      <c r="CM685">
        <v>2</v>
      </c>
      <c r="CN685">
        <v>0</v>
      </c>
      <c r="CO685">
        <v>6</v>
      </c>
      <c r="CP685" t="s">
        <v>119</v>
      </c>
      <c r="CQ685">
        <v>232</v>
      </c>
      <c r="CR685">
        <v>1</v>
      </c>
      <c r="CW685">
        <v>15098248</v>
      </c>
      <c r="CY685">
        <v>1</v>
      </c>
      <c r="CZ685">
        <v>0</v>
      </c>
      <c r="DA685">
        <v>0</v>
      </c>
      <c r="DB685">
        <v>0</v>
      </c>
      <c r="DC685">
        <v>0</v>
      </c>
      <c r="DD685">
        <v>1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"12/16/2021 14:45:36.740"</f>
        <v>12/16/2021 14:45:36.740</v>
      </c>
      <c r="C686" t="str">
        <f t="shared" si="31"/>
        <v>FFDFD3C0</v>
      </c>
      <c r="D686" t="s">
        <v>133</v>
      </c>
      <c r="E686">
        <v>44</v>
      </c>
      <c r="H686">
        <v>131</v>
      </c>
      <c r="I686" t="s">
        <v>134</v>
      </c>
      <c r="J686" t="s">
        <v>135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"14:45:36.516"</f>
        <v>14:45:36.516</v>
      </c>
      <c r="T686" t="str">
        <f>"14:45:36.016"</f>
        <v>14:45:36.016</v>
      </c>
      <c r="U686" t="str">
        <f t="shared" si="30"/>
        <v>A0F928</v>
      </c>
      <c r="V686">
        <v>0</v>
      </c>
      <c r="W686">
        <v>0</v>
      </c>
      <c r="X686">
        <v>2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1</v>
      </c>
      <c r="AI686" t="s">
        <v>454</v>
      </c>
      <c r="AJ686">
        <v>35.802534000000001</v>
      </c>
      <c r="AK686" t="s">
        <v>455</v>
      </c>
      <c r="AL686">
        <v>-83.936769999999996</v>
      </c>
      <c r="AM686">
        <v>25</v>
      </c>
      <c r="AN686">
        <v>1600</v>
      </c>
      <c r="AO686" t="s">
        <v>118</v>
      </c>
      <c r="AP686">
        <v>-61</v>
      </c>
      <c r="AQ686">
        <v>-70</v>
      </c>
      <c r="AR686">
        <v>-128</v>
      </c>
      <c r="AZ686">
        <v>300</v>
      </c>
      <c r="BA686">
        <v>1</v>
      </c>
      <c r="BB686" t="str">
        <f t="shared" si="32"/>
        <v xml:space="preserve">N162AM  </v>
      </c>
      <c r="BC686">
        <v>1</v>
      </c>
      <c r="BE686">
        <v>0</v>
      </c>
      <c r="BF686">
        <v>0</v>
      </c>
      <c r="BG686">
        <v>0</v>
      </c>
      <c r="BH686">
        <v>1875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>"14:45:36.519"</f>
        <v>14:45:36.519</v>
      </c>
      <c r="CJ686">
        <v>3</v>
      </c>
      <c r="CK686">
        <v>2</v>
      </c>
      <c r="CL686">
        <v>0</v>
      </c>
      <c r="CM686">
        <v>2</v>
      </c>
      <c r="CN686">
        <v>0</v>
      </c>
      <c r="CO686">
        <v>6</v>
      </c>
      <c r="CP686" t="s">
        <v>119</v>
      </c>
      <c r="CQ686">
        <v>232</v>
      </c>
      <c r="CR686">
        <v>1</v>
      </c>
      <c r="CW686">
        <v>15098248</v>
      </c>
      <c r="CY686">
        <v>1</v>
      </c>
      <c r="CZ686">
        <v>0</v>
      </c>
      <c r="DA686">
        <v>1</v>
      </c>
      <c r="DB686">
        <v>0</v>
      </c>
      <c r="DC686">
        <v>0</v>
      </c>
      <c r="DD686">
        <v>1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"12/16/2021 14:45:36.740"</f>
        <v>12/16/2021 14:45:36.740</v>
      </c>
      <c r="C687" t="str">
        <f t="shared" si="31"/>
        <v>FFDFD3C0</v>
      </c>
      <c r="D687" t="s">
        <v>124</v>
      </c>
      <c r="E687">
        <v>10</v>
      </c>
      <c r="F687">
        <v>1010</v>
      </c>
      <c r="G687" t="s">
        <v>130</v>
      </c>
      <c r="J687" t="s">
        <v>125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"14:45:36.516"</f>
        <v>14:45:36.516</v>
      </c>
      <c r="T687" t="str">
        <f>"14:45:36.016"</f>
        <v>14:45:36.016</v>
      </c>
      <c r="U687" t="str">
        <f t="shared" si="30"/>
        <v>A0F928</v>
      </c>
      <c r="V687">
        <v>0</v>
      </c>
      <c r="W687">
        <v>0</v>
      </c>
      <c r="X687">
        <v>2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1</v>
      </c>
      <c r="AI687" t="s">
        <v>454</v>
      </c>
      <c r="AJ687">
        <v>35.802534000000001</v>
      </c>
      <c r="AK687" t="s">
        <v>455</v>
      </c>
      <c r="AL687">
        <v>-83.936769999999996</v>
      </c>
      <c r="AM687">
        <v>25</v>
      </c>
      <c r="AN687">
        <v>1600</v>
      </c>
      <c r="AO687" t="s">
        <v>118</v>
      </c>
      <c r="AP687">
        <v>-61</v>
      </c>
      <c r="AQ687">
        <v>-70</v>
      </c>
      <c r="AR687">
        <v>-128</v>
      </c>
      <c r="AZ687">
        <v>300</v>
      </c>
      <c r="BA687">
        <v>1</v>
      </c>
      <c r="BB687" t="str">
        <f t="shared" si="32"/>
        <v xml:space="preserve">N162AM  </v>
      </c>
      <c r="BC687">
        <v>1</v>
      </c>
      <c r="BE687">
        <v>0</v>
      </c>
      <c r="BF687">
        <v>0</v>
      </c>
      <c r="BG687">
        <v>0</v>
      </c>
      <c r="BH687">
        <v>1875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>"14:45:36.519"</f>
        <v>14:45:36.519</v>
      </c>
      <c r="CJ687">
        <v>3</v>
      </c>
      <c r="CK687">
        <v>2</v>
      </c>
      <c r="CL687">
        <v>0</v>
      </c>
      <c r="CM687">
        <v>2</v>
      </c>
      <c r="CN687">
        <v>0</v>
      </c>
      <c r="CO687">
        <v>6</v>
      </c>
      <c r="CP687" t="s">
        <v>119</v>
      </c>
      <c r="CQ687">
        <v>232</v>
      </c>
      <c r="CR687">
        <v>1</v>
      </c>
      <c r="CW687">
        <v>15098248</v>
      </c>
      <c r="CY687">
        <v>1</v>
      </c>
      <c r="CZ687">
        <v>0</v>
      </c>
      <c r="DA687">
        <v>1</v>
      </c>
      <c r="DB687">
        <v>0</v>
      </c>
      <c r="DC687">
        <v>0</v>
      </c>
      <c r="DD687">
        <v>1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"12/16/2021 14:45:36.740"</f>
        <v>12/16/2021 14:45:36.740</v>
      </c>
      <c r="C688" t="str">
        <f t="shared" si="31"/>
        <v>FFDFD3C0</v>
      </c>
      <c r="D688" t="s">
        <v>124</v>
      </c>
      <c r="E688">
        <v>5</v>
      </c>
      <c r="F688">
        <v>1005</v>
      </c>
      <c r="G688" t="s">
        <v>114</v>
      </c>
      <c r="J688" t="s">
        <v>125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"14:45:36.516"</f>
        <v>14:45:36.516</v>
      </c>
      <c r="T688" t="str">
        <f>"14:45:36.016"</f>
        <v>14:45:36.016</v>
      </c>
      <c r="U688" t="str">
        <f t="shared" si="30"/>
        <v>A0F928</v>
      </c>
      <c r="V688">
        <v>0</v>
      </c>
      <c r="W688">
        <v>0</v>
      </c>
      <c r="X688">
        <v>2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1</v>
      </c>
      <c r="AI688" t="s">
        <v>454</v>
      </c>
      <c r="AJ688">
        <v>35.802534000000001</v>
      </c>
      <c r="AK688" t="s">
        <v>455</v>
      </c>
      <c r="AL688">
        <v>-83.936769999999996</v>
      </c>
      <c r="AM688">
        <v>25</v>
      </c>
      <c r="AN688">
        <v>1600</v>
      </c>
      <c r="AO688" t="s">
        <v>118</v>
      </c>
      <c r="AP688">
        <v>-61</v>
      </c>
      <c r="AQ688">
        <v>-70</v>
      </c>
      <c r="AR688">
        <v>-128</v>
      </c>
      <c r="AZ688">
        <v>300</v>
      </c>
      <c r="BA688">
        <v>1</v>
      </c>
      <c r="BB688" t="str">
        <f t="shared" si="32"/>
        <v xml:space="preserve">N162AM  </v>
      </c>
      <c r="BC688">
        <v>1</v>
      </c>
      <c r="BE688">
        <v>0</v>
      </c>
      <c r="BF688">
        <v>0</v>
      </c>
      <c r="BG688">
        <v>0</v>
      </c>
      <c r="BH688">
        <v>1875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>"14:45:36.519"</f>
        <v>14:45:36.519</v>
      </c>
      <c r="CJ688">
        <v>3</v>
      </c>
      <c r="CK688">
        <v>2</v>
      </c>
      <c r="CL688">
        <v>0</v>
      </c>
      <c r="CM688">
        <v>2</v>
      </c>
      <c r="CN688">
        <v>0</v>
      </c>
      <c r="CO688">
        <v>6</v>
      </c>
      <c r="CP688" t="s">
        <v>119</v>
      </c>
      <c r="CQ688">
        <v>232</v>
      </c>
      <c r="CR688">
        <v>1</v>
      </c>
      <c r="CW688">
        <v>15098248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1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"12/16/2021 14:45:37.710"</f>
        <v>12/16/2021 14:45:37.710</v>
      </c>
      <c r="C689" t="str">
        <f t="shared" si="31"/>
        <v>FFDFD3C0</v>
      </c>
      <c r="D689" t="s">
        <v>113</v>
      </c>
      <c r="E689">
        <v>8</v>
      </c>
      <c r="H689">
        <v>176</v>
      </c>
      <c r="I689" t="s">
        <v>114</v>
      </c>
      <c r="J689" t="s">
        <v>115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"14:45:37.469"</f>
        <v>14:45:37.469</v>
      </c>
      <c r="T689" t="str">
        <f>"14:45:37.069"</f>
        <v>14:45:37.069</v>
      </c>
      <c r="U689" t="str">
        <f t="shared" si="30"/>
        <v>A0F928</v>
      </c>
      <c r="V689">
        <v>0</v>
      </c>
      <c r="W689">
        <v>0</v>
      </c>
      <c r="X689">
        <v>2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1</v>
      </c>
      <c r="AI689" t="s">
        <v>456</v>
      </c>
      <c r="AJ689">
        <v>35.802255000000002</v>
      </c>
      <c r="AK689" t="s">
        <v>457</v>
      </c>
      <c r="AL689">
        <v>-83.937134999999998</v>
      </c>
      <c r="AM689">
        <v>25</v>
      </c>
      <c r="AN689">
        <v>1600</v>
      </c>
      <c r="AO689" t="s">
        <v>118</v>
      </c>
      <c r="AP689">
        <v>-65</v>
      </c>
      <c r="AQ689">
        <v>-66</v>
      </c>
      <c r="AR689">
        <v>-128</v>
      </c>
      <c r="AZ689">
        <v>300</v>
      </c>
      <c r="BA689">
        <v>1</v>
      </c>
      <c r="BB689" t="str">
        <f t="shared" si="32"/>
        <v xml:space="preserve">N162AM  </v>
      </c>
      <c r="BC689">
        <v>1</v>
      </c>
      <c r="BE689">
        <v>0</v>
      </c>
      <c r="BF689">
        <v>0</v>
      </c>
      <c r="BG689">
        <v>0</v>
      </c>
      <c r="BH689">
        <v>1875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>"14:45:37.472"</f>
        <v>14:45:37.472</v>
      </c>
      <c r="CJ689">
        <v>3</v>
      </c>
      <c r="CK689">
        <v>2</v>
      </c>
      <c r="CL689">
        <v>0</v>
      </c>
      <c r="CM689">
        <v>2</v>
      </c>
      <c r="CN689">
        <v>0</v>
      </c>
      <c r="CO689">
        <v>5</v>
      </c>
      <c r="CP689" t="s">
        <v>119</v>
      </c>
      <c r="CQ689">
        <v>232</v>
      </c>
      <c r="CR689">
        <v>1</v>
      </c>
      <c r="CW689">
        <v>15099792</v>
      </c>
      <c r="CY689">
        <v>1</v>
      </c>
      <c r="CZ689">
        <v>0</v>
      </c>
      <c r="DA689">
        <v>0</v>
      </c>
      <c r="DB689">
        <v>0</v>
      </c>
      <c r="DC689">
        <v>0</v>
      </c>
      <c r="DD689">
        <v>1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"12/16/2021 14:45:37.710"</f>
        <v>12/16/2021 14:45:37.710</v>
      </c>
      <c r="C690" t="str">
        <f t="shared" si="31"/>
        <v>FFDFD3C0</v>
      </c>
      <c r="D690" t="s">
        <v>124</v>
      </c>
      <c r="E690">
        <v>5</v>
      </c>
      <c r="F690">
        <v>1005</v>
      </c>
      <c r="G690" t="s">
        <v>114</v>
      </c>
      <c r="J690" t="s">
        <v>125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"14:45:37.469"</f>
        <v>14:45:37.469</v>
      </c>
      <c r="T690" t="str">
        <f>"14:45:37.069"</f>
        <v>14:45:37.069</v>
      </c>
      <c r="U690" t="str">
        <f t="shared" si="30"/>
        <v>A0F928</v>
      </c>
      <c r="V690">
        <v>0</v>
      </c>
      <c r="W690">
        <v>0</v>
      </c>
      <c r="X690">
        <v>2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1</v>
      </c>
      <c r="AI690" t="s">
        <v>456</v>
      </c>
      <c r="AJ690">
        <v>35.802255000000002</v>
      </c>
      <c r="AK690" t="s">
        <v>457</v>
      </c>
      <c r="AL690">
        <v>-83.937134999999998</v>
      </c>
      <c r="AM690">
        <v>25</v>
      </c>
      <c r="AN690">
        <v>1600</v>
      </c>
      <c r="AO690" t="s">
        <v>118</v>
      </c>
      <c r="AP690">
        <v>-65</v>
      </c>
      <c r="AQ690">
        <v>-66</v>
      </c>
      <c r="AR690">
        <v>-128</v>
      </c>
      <c r="AZ690">
        <v>300</v>
      </c>
      <c r="BA690">
        <v>1</v>
      </c>
      <c r="BB690" t="str">
        <f t="shared" si="32"/>
        <v xml:space="preserve">N162AM  </v>
      </c>
      <c r="BC690">
        <v>1</v>
      </c>
      <c r="BE690">
        <v>0</v>
      </c>
      <c r="BF690">
        <v>0</v>
      </c>
      <c r="BG690">
        <v>0</v>
      </c>
      <c r="BH690">
        <v>1875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>"14:45:37.472"</f>
        <v>14:45:37.472</v>
      </c>
      <c r="CJ690">
        <v>3</v>
      </c>
      <c r="CK690">
        <v>2</v>
      </c>
      <c r="CL690">
        <v>0</v>
      </c>
      <c r="CM690">
        <v>2</v>
      </c>
      <c r="CN690">
        <v>0</v>
      </c>
      <c r="CO690">
        <v>5</v>
      </c>
      <c r="CP690" t="s">
        <v>119</v>
      </c>
      <c r="CQ690">
        <v>232</v>
      </c>
      <c r="CR690">
        <v>1</v>
      </c>
      <c r="CW690">
        <v>15099792</v>
      </c>
      <c r="CY690">
        <v>1</v>
      </c>
      <c r="CZ690">
        <v>0</v>
      </c>
      <c r="DA690">
        <v>1</v>
      </c>
      <c r="DB690">
        <v>0</v>
      </c>
      <c r="DC690">
        <v>0</v>
      </c>
      <c r="DD690">
        <v>1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"12/16/2021 14:45:37.710"</f>
        <v>12/16/2021 14:45:37.710</v>
      </c>
      <c r="C691" t="str">
        <f t="shared" si="31"/>
        <v>FFDFD3C0</v>
      </c>
      <c r="D691" t="s">
        <v>124</v>
      </c>
      <c r="E691">
        <v>10</v>
      </c>
      <c r="F691">
        <v>1010</v>
      </c>
      <c r="G691" t="s">
        <v>130</v>
      </c>
      <c r="J691" t="s">
        <v>125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"14:45:37.469"</f>
        <v>14:45:37.469</v>
      </c>
      <c r="T691" t="str">
        <f>"14:45:37.069"</f>
        <v>14:45:37.069</v>
      </c>
      <c r="U691" t="str">
        <f t="shared" si="30"/>
        <v>A0F928</v>
      </c>
      <c r="V691">
        <v>0</v>
      </c>
      <c r="W691">
        <v>0</v>
      </c>
      <c r="X691">
        <v>2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1</v>
      </c>
      <c r="AI691" t="s">
        <v>456</v>
      </c>
      <c r="AJ691">
        <v>35.802255000000002</v>
      </c>
      <c r="AK691" t="s">
        <v>457</v>
      </c>
      <c r="AL691">
        <v>-83.937134999999998</v>
      </c>
      <c r="AM691">
        <v>25</v>
      </c>
      <c r="AN691">
        <v>1600</v>
      </c>
      <c r="AO691" t="s">
        <v>118</v>
      </c>
      <c r="AP691">
        <v>-65</v>
      </c>
      <c r="AQ691">
        <v>-66</v>
      </c>
      <c r="AR691">
        <v>-128</v>
      </c>
      <c r="AZ691">
        <v>300</v>
      </c>
      <c r="BA691">
        <v>1</v>
      </c>
      <c r="BB691" t="str">
        <f t="shared" si="32"/>
        <v xml:space="preserve">N162AM  </v>
      </c>
      <c r="BC691">
        <v>1</v>
      </c>
      <c r="BE691">
        <v>0</v>
      </c>
      <c r="BF691">
        <v>0</v>
      </c>
      <c r="BG691">
        <v>0</v>
      </c>
      <c r="BH691">
        <v>1875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>"14:45:37.472"</f>
        <v>14:45:37.472</v>
      </c>
      <c r="CJ691">
        <v>3</v>
      </c>
      <c r="CK691">
        <v>2</v>
      </c>
      <c r="CL691">
        <v>0</v>
      </c>
      <c r="CM691">
        <v>2</v>
      </c>
      <c r="CN691">
        <v>0</v>
      </c>
      <c r="CO691">
        <v>5</v>
      </c>
      <c r="CP691" t="s">
        <v>119</v>
      </c>
      <c r="CQ691">
        <v>232</v>
      </c>
      <c r="CR691">
        <v>1</v>
      </c>
      <c r="CW691">
        <v>15099792</v>
      </c>
      <c r="CY691">
        <v>1</v>
      </c>
      <c r="CZ691">
        <v>0</v>
      </c>
      <c r="DA691">
        <v>1</v>
      </c>
      <c r="DB691">
        <v>0</v>
      </c>
      <c r="DC691">
        <v>0</v>
      </c>
      <c r="DD691">
        <v>1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"12/16/2021 14:45:37.710"</f>
        <v>12/16/2021 14:45:37.710</v>
      </c>
      <c r="C692" t="str">
        <f t="shared" si="31"/>
        <v>FFDFD3C0</v>
      </c>
      <c r="D692" t="s">
        <v>133</v>
      </c>
      <c r="E692">
        <v>44</v>
      </c>
      <c r="H692">
        <v>131</v>
      </c>
      <c r="I692" t="s">
        <v>134</v>
      </c>
      <c r="J692" t="s">
        <v>135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"14:45:37.469"</f>
        <v>14:45:37.469</v>
      </c>
      <c r="T692" t="str">
        <f>"14:45:37.069"</f>
        <v>14:45:37.069</v>
      </c>
      <c r="U692" t="str">
        <f t="shared" si="30"/>
        <v>A0F928</v>
      </c>
      <c r="V692">
        <v>0</v>
      </c>
      <c r="W692">
        <v>0</v>
      </c>
      <c r="X692">
        <v>2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1</v>
      </c>
      <c r="AI692" t="s">
        <v>456</v>
      </c>
      <c r="AJ692">
        <v>35.802255000000002</v>
      </c>
      <c r="AK692" t="s">
        <v>457</v>
      </c>
      <c r="AL692">
        <v>-83.937134999999998</v>
      </c>
      <c r="AM692">
        <v>25</v>
      </c>
      <c r="AN692">
        <v>1600</v>
      </c>
      <c r="AO692" t="s">
        <v>118</v>
      </c>
      <c r="AP692">
        <v>-65</v>
      </c>
      <c r="AQ692">
        <v>-66</v>
      </c>
      <c r="AR692">
        <v>-128</v>
      </c>
      <c r="AZ692">
        <v>300</v>
      </c>
      <c r="BA692">
        <v>1</v>
      </c>
      <c r="BB692" t="str">
        <f t="shared" si="32"/>
        <v xml:space="preserve">N162AM  </v>
      </c>
      <c r="BC692">
        <v>1</v>
      </c>
      <c r="BE692">
        <v>0</v>
      </c>
      <c r="BF692">
        <v>0</v>
      </c>
      <c r="BG692">
        <v>0</v>
      </c>
      <c r="BH692">
        <v>1875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>"14:45:37.472"</f>
        <v>14:45:37.472</v>
      </c>
      <c r="CJ692">
        <v>3</v>
      </c>
      <c r="CK692">
        <v>2</v>
      </c>
      <c r="CL692">
        <v>0</v>
      </c>
      <c r="CM692">
        <v>2</v>
      </c>
      <c r="CN692">
        <v>0</v>
      </c>
      <c r="CO692">
        <v>5</v>
      </c>
      <c r="CP692" t="s">
        <v>119</v>
      </c>
      <c r="CQ692">
        <v>232</v>
      </c>
      <c r="CR692">
        <v>1</v>
      </c>
      <c r="CW692">
        <v>15099792</v>
      </c>
      <c r="CY692">
        <v>1</v>
      </c>
      <c r="CZ692">
        <v>0</v>
      </c>
      <c r="DA692">
        <v>1</v>
      </c>
      <c r="DB692">
        <v>0</v>
      </c>
      <c r="DC692">
        <v>0</v>
      </c>
      <c r="DD692">
        <v>1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"12/16/2021 14:45:38.554"</f>
        <v>12/16/2021 14:45:38.554</v>
      </c>
      <c r="C693" t="str">
        <f t="shared" si="31"/>
        <v>FFDFD3C0</v>
      </c>
      <c r="D693" t="s">
        <v>133</v>
      </c>
      <c r="E693">
        <v>44</v>
      </c>
      <c r="H693">
        <v>131</v>
      </c>
      <c r="I693" t="s">
        <v>134</v>
      </c>
      <c r="J693" t="s">
        <v>135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"14:45:38.328"</f>
        <v>14:45:38.328</v>
      </c>
      <c r="T693" t="str">
        <f>"14:45:37.528"</f>
        <v>14:45:37.528</v>
      </c>
      <c r="U693" t="str">
        <f t="shared" si="30"/>
        <v>A0F928</v>
      </c>
      <c r="V693">
        <v>0</v>
      </c>
      <c r="W693">
        <v>0</v>
      </c>
      <c r="X693">
        <v>2</v>
      </c>
      <c r="Z693">
        <v>0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1</v>
      </c>
      <c r="AI693" t="s">
        <v>458</v>
      </c>
      <c r="AJ693">
        <v>35.802019000000001</v>
      </c>
      <c r="AK693" t="s">
        <v>459</v>
      </c>
      <c r="AL693">
        <v>-83.937477999999999</v>
      </c>
      <c r="AM693">
        <v>25</v>
      </c>
      <c r="AN693">
        <v>1600</v>
      </c>
      <c r="AO693" t="s">
        <v>118</v>
      </c>
      <c r="AP693">
        <v>-68</v>
      </c>
      <c r="AQ693">
        <v>-64</v>
      </c>
      <c r="AR693">
        <v>-128</v>
      </c>
      <c r="AZ693">
        <v>300</v>
      </c>
      <c r="BA693">
        <v>1</v>
      </c>
      <c r="BB693" t="str">
        <f t="shared" si="32"/>
        <v xml:space="preserve">N162AM  </v>
      </c>
      <c r="BC693">
        <v>1</v>
      </c>
      <c r="BE693">
        <v>0</v>
      </c>
      <c r="BF693">
        <v>0</v>
      </c>
      <c r="BG693">
        <v>0</v>
      </c>
      <c r="BH693">
        <v>1875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>"14:45:38.334"</f>
        <v>14:45:38.334</v>
      </c>
      <c r="CJ693">
        <v>3</v>
      </c>
      <c r="CK693">
        <v>2</v>
      </c>
      <c r="CL693">
        <v>0</v>
      </c>
      <c r="CM693">
        <v>2</v>
      </c>
      <c r="CN693">
        <v>0</v>
      </c>
      <c r="CO693">
        <v>3</v>
      </c>
      <c r="CP693" t="s">
        <v>119</v>
      </c>
      <c r="CQ693">
        <v>232</v>
      </c>
      <c r="CR693">
        <v>1</v>
      </c>
      <c r="CW693">
        <v>15101205</v>
      </c>
      <c r="CY693">
        <v>1</v>
      </c>
      <c r="CZ693">
        <v>0</v>
      </c>
      <c r="DA693">
        <v>0</v>
      </c>
      <c r="DB693">
        <v>0</v>
      </c>
      <c r="DC693">
        <v>0</v>
      </c>
      <c r="DD693">
        <v>1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"12/16/2021 14:45:38.585"</f>
        <v>12/16/2021 14:45:38.585</v>
      </c>
      <c r="C694" t="str">
        <f t="shared" si="31"/>
        <v>FFDFD3C0</v>
      </c>
      <c r="D694" t="s">
        <v>124</v>
      </c>
      <c r="E694">
        <v>5</v>
      </c>
      <c r="F694">
        <v>1005</v>
      </c>
      <c r="G694" t="s">
        <v>114</v>
      </c>
      <c r="J694" t="s">
        <v>125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"14:45:38.328"</f>
        <v>14:45:38.328</v>
      </c>
      <c r="T694" t="str">
        <f>"14:45:37.528"</f>
        <v>14:45:37.528</v>
      </c>
      <c r="U694" t="str">
        <f t="shared" si="30"/>
        <v>A0F928</v>
      </c>
      <c r="V694">
        <v>0</v>
      </c>
      <c r="W694">
        <v>0</v>
      </c>
      <c r="X694">
        <v>2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1</v>
      </c>
      <c r="AI694" t="s">
        <v>458</v>
      </c>
      <c r="AJ694">
        <v>35.802019000000001</v>
      </c>
      <c r="AK694" t="s">
        <v>459</v>
      </c>
      <c r="AL694">
        <v>-83.937477999999999</v>
      </c>
      <c r="AM694">
        <v>25</v>
      </c>
      <c r="AN694">
        <v>1600</v>
      </c>
      <c r="AO694" t="s">
        <v>118</v>
      </c>
      <c r="AP694">
        <v>-68</v>
      </c>
      <c r="AQ694">
        <v>-64</v>
      </c>
      <c r="AR694">
        <v>-128</v>
      </c>
      <c r="AZ694">
        <v>300</v>
      </c>
      <c r="BA694">
        <v>1</v>
      </c>
      <c r="BB694" t="str">
        <f t="shared" si="32"/>
        <v xml:space="preserve">N162AM  </v>
      </c>
      <c r="BC694">
        <v>1</v>
      </c>
      <c r="BE694">
        <v>0</v>
      </c>
      <c r="BF694">
        <v>0</v>
      </c>
      <c r="BG694">
        <v>0</v>
      </c>
      <c r="BH694">
        <v>1875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>"14:45:38.334"</f>
        <v>14:45:38.334</v>
      </c>
      <c r="CJ694">
        <v>3</v>
      </c>
      <c r="CK694">
        <v>2</v>
      </c>
      <c r="CL694">
        <v>0</v>
      </c>
      <c r="CM694">
        <v>2</v>
      </c>
      <c r="CN694">
        <v>0</v>
      </c>
      <c r="CO694">
        <v>3</v>
      </c>
      <c r="CP694" t="s">
        <v>119</v>
      </c>
      <c r="CQ694">
        <v>232</v>
      </c>
      <c r="CR694">
        <v>1</v>
      </c>
      <c r="CW694">
        <v>15101205</v>
      </c>
      <c r="CY694">
        <v>1</v>
      </c>
      <c r="CZ694">
        <v>0</v>
      </c>
      <c r="DA694">
        <v>1</v>
      </c>
      <c r="DB694">
        <v>0</v>
      </c>
      <c r="DC694">
        <v>0</v>
      </c>
      <c r="DD694">
        <v>1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"12/16/2021 14:45:38.585"</f>
        <v>12/16/2021 14:45:38.585</v>
      </c>
      <c r="C695" t="str">
        <f t="shared" si="31"/>
        <v>FFDFD3C0</v>
      </c>
      <c r="D695" t="s">
        <v>113</v>
      </c>
      <c r="E695">
        <v>8</v>
      </c>
      <c r="H695">
        <v>176</v>
      </c>
      <c r="I695" t="s">
        <v>114</v>
      </c>
      <c r="J695" t="s">
        <v>115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"14:45:38.328"</f>
        <v>14:45:38.328</v>
      </c>
      <c r="T695" t="str">
        <f>"14:45:37.528"</f>
        <v>14:45:37.528</v>
      </c>
      <c r="U695" t="str">
        <f t="shared" si="30"/>
        <v>A0F928</v>
      </c>
      <c r="V695">
        <v>0</v>
      </c>
      <c r="W695">
        <v>0</v>
      </c>
      <c r="X695">
        <v>2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1</v>
      </c>
      <c r="AI695" t="s">
        <v>458</v>
      </c>
      <c r="AJ695">
        <v>35.802019000000001</v>
      </c>
      <c r="AK695" t="s">
        <v>459</v>
      </c>
      <c r="AL695">
        <v>-83.937477999999999</v>
      </c>
      <c r="AM695">
        <v>25</v>
      </c>
      <c r="AN695">
        <v>1600</v>
      </c>
      <c r="AO695" t="s">
        <v>118</v>
      </c>
      <c r="AP695">
        <v>-68</v>
      </c>
      <c r="AQ695">
        <v>-64</v>
      </c>
      <c r="AR695">
        <v>-128</v>
      </c>
      <c r="AZ695">
        <v>300</v>
      </c>
      <c r="BA695">
        <v>1</v>
      </c>
      <c r="BB695" t="str">
        <f t="shared" si="32"/>
        <v xml:space="preserve">N162AM  </v>
      </c>
      <c r="BC695">
        <v>1</v>
      </c>
      <c r="BE695">
        <v>0</v>
      </c>
      <c r="BF695">
        <v>0</v>
      </c>
      <c r="BG695">
        <v>0</v>
      </c>
      <c r="BH695">
        <v>1875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>"14:45:38.334"</f>
        <v>14:45:38.334</v>
      </c>
      <c r="CJ695">
        <v>3</v>
      </c>
      <c r="CK695">
        <v>2</v>
      </c>
      <c r="CL695">
        <v>0</v>
      </c>
      <c r="CM695">
        <v>2</v>
      </c>
      <c r="CN695">
        <v>0</v>
      </c>
      <c r="CO695">
        <v>3</v>
      </c>
      <c r="CP695" t="s">
        <v>119</v>
      </c>
      <c r="CQ695">
        <v>232</v>
      </c>
      <c r="CR695">
        <v>1</v>
      </c>
      <c r="CW695">
        <v>15101205</v>
      </c>
      <c r="CY695">
        <v>1</v>
      </c>
      <c r="CZ695">
        <v>0</v>
      </c>
      <c r="DA695">
        <v>1</v>
      </c>
      <c r="DB695">
        <v>0</v>
      </c>
      <c r="DC695">
        <v>0</v>
      </c>
      <c r="DD695">
        <v>1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"12/16/2021 14:45:38.585"</f>
        <v>12/16/2021 14:45:38.585</v>
      </c>
      <c r="C696" t="str">
        <f t="shared" si="31"/>
        <v>FFDFD3C0</v>
      </c>
      <c r="D696" t="s">
        <v>124</v>
      </c>
      <c r="E696">
        <v>10</v>
      </c>
      <c r="F696">
        <v>1010</v>
      </c>
      <c r="G696" t="s">
        <v>130</v>
      </c>
      <c r="J696" t="s">
        <v>125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"14:45:38.328"</f>
        <v>14:45:38.328</v>
      </c>
      <c r="T696" t="str">
        <f>"14:45:37.528"</f>
        <v>14:45:37.528</v>
      </c>
      <c r="U696" t="str">
        <f t="shared" si="30"/>
        <v>A0F928</v>
      </c>
      <c r="V696">
        <v>0</v>
      </c>
      <c r="W696">
        <v>0</v>
      </c>
      <c r="X696">
        <v>2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1</v>
      </c>
      <c r="AI696" t="s">
        <v>458</v>
      </c>
      <c r="AJ696">
        <v>35.802019000000001</v>
      </c>
      <c r="AK696" t="s">
        <v>459</v>
      </c>
      <c r="AL696">
        <v>-83.937477999999999</v>
      </c>
      <c r="AM696">
        <v>25</v>
      </c>
      <c r="AN696">
        <v>1600</v>
      </c>
      <c r="AO696" t="s">
        <v>118</v>
      </c>
      <c r="AP696">
        <v>-68</v>
      </c>
      <c r="AQ696">
        <v>-64</v>
      </c>
      <c r="AR696">
        <v>-128</v>
      </c>
      <c r="AZ696">
        <v>300</v>
      </c>
      <c r="BA696">
        <v>1</v>
      </c>
      <c r="BB696" t="str">
        <f t="shared" si="32"/>
        <v xml:space="preserve">N162AM  </v>
      </c>
      <c r="BC696">
        <v>1</v>
      </c>
      <c r="BE696">
        <v>0</v>
      </c>
      <c r="BF696">
        <v>0</v>
      </c>
      <c r="BG696">
        <v>0</v>
      </c>
      <c r="BH696">
        <v>1875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>"14:45:38.334"</f>
        <v>14:45:38.334</v>
      </c>
      <c r="CJ696">
        <v>3</v>
      </c>
      <c r="CK696">
        <v>2</v>
      </c>
      <c r="CL696">
        <v>0</v>
      </c>
      <c r="CM696">
        <v>2</v>
      </c>
      <c r="CN696">
        <v>0</v>
      </c>
      <c r="CO696">
        <v>3</v>
      </c>
      <c r="CP696" t="s">
        <v>119</v>
      </c>
      <c r="CQ696">
        <v>232</v>
      </c>
      <c r="CR696">
        <v>1</v>
      </c>
      <c r="CW696">
        <v>15101205</v>
      </c>
      <c r="CY696">
        <v>1</v>
      </c>
      <c r="CZ696">
        <v>0</v>
      </c>
      <c r="DA696">
        <v>1</v>
      </c>
      <c r="DB696">
        <v>0</v>
      </c>
      <c r="DC696">
        <v>0</v>
      </c>
      <c r="DD696">
        <v>1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"12/16/2021 14:45:39.555"</f>
        <v>12/16/2021 14:45:39.555</v>
      </c>
      <c r="C697" t="str">
        <f t="shared" si="31"/>
        <v>FFDFD3C0</v>
      </c>
      <c r="D697" t="s">
        <v>124</v>
      </c>
      <c r="E697">
        <v>5</v>
      </c>
      <c r="F697">
        <v>1005</v>
      </c>
      <c r="G697" t="s">
        <v>114</v>
      </c>
      <c r="J697" t="s">
        <v>125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"14:45:39.313"</f>
        <v>14:45:39.313</v>
      </c>
      <c r="T697" t="str">
        <f>"14:45:38.913"</f>
        <v>14:45:38.913</v>
      </c>
      <c r="U697" t="str">
        <f t="shared" si="30"/>
        <v>A0F928</v>
      </c>
      <c r="V697">
        <v>0</v>
      </c>
      <c r="W697">
        <v>0</v>
      </c>
      <c r="X697">
        <v>2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1</v>
      </c>
      <c r="AI697" t="s">
        <v>460</v>
      </c>
      <c r="AJ697">
        <v>35.801740000000002</v>
      </c>
      <c r="AK697" t="s">
        <v>461</v>
      </c>
      <c r="AL697">
        <v>-83.937886000000006</v>
      </c>
      <c r="AM697">
        <v>25</v>
      </c>
      <c r="AN697">
        <v>1600</v>
      </c>
      <c r="AO697" t="s">
        <v>118</v>
      </c>
      <c r="AP697">
        <v>-74</v>
      </c>
      <c r="AQ697">
        <v>-59</v>
      </c>
      <c r="AR697">
        <v>-128</v>
      </c>
      <c r="AZ697">
        <v>300</v>
      </c>
      <c r="BA697">
        <v>1</v>
      </c>
      <c r="BB697" t="str">
        <f t="shared" si="32"/>
        <v xml:space="preserve">N162AM  </v>
      </c>
      <c r="BC697">
        <v>1</v>
      </c>
      <c r="BE697">
        <v>0</v>
      </c>
      <c r="BF697">
        <v>0</v>
      </c>
      <c r="BG697">
        <v>0</v>
      </c>
      <c r="BH697">
        <v>1850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>"14:45:39.319"</f>
        <v>14:45:39.319</v>
      </c>
      <c r="CJ697">
        <v>3</v>
      </c>
      <c r="CK697">
        <v>2</v>
      </c>
      <c r="CL697">
        <v>0</v>
      </c>
      <c r="CM697">
        <v>2</v>
      </c>
      <c r="CN697">
        <v>0</v>
      </c>
      <c r="CO697">
        <v>3</v>
      </c>
      <c r="CP697" t="s">
        <v>119</v>
      </c>
      <c r="CQ697">
        <v>232</v>
      </c>
      <c r="CR697">
        <v>2</v>
      </c>
      <c r="CW697">
        <v>6296834</v>
      </c>
      <c r="CY697">
        <v>1</v>
      </c>
      <c r="CZ697">
        <v>0</v>
      </c>
      <c r="DA697">
        <v>0</v>
      </c>
      <c r="DB697">
        <v>0</v>
      </c>
      <c r="DC697">
        <v>0</v>
      </c>
      <c r="DD697">
        <v>1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"12/16/2021 14:45:39.555"</f>
        <v>12/16/2021 14:45:39.555</v>
      </c>
      <c r="C698" t="str">
        <f t="shared" si="31"/>
        <v>FFDFD3C0</v>
      </c>
      <c r="D698" t="s">
        <v>124</v>
      </c>
      <c r="E698">
        <v>10</v>
      </c>
      <c r="F698">
        <v>1010</v>
      </c>
      <c r="G698" t="s">
        <v>130</v>
      </c>
      <c r="J698" t="s">
        <v>125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"14:45:39.313"</f>
        <v>14:45:39.313</v>
      </c>
      <c r="T698" t="str">
        <f>"14:45:38.913"</f>
        <v>14:45:38.913</v>
      </c>
      <c r="U698" t="str">
        <f t="shared" si="30"/>
        <v>A0F928</v>
      </c>
      <c r="V698">
        <v>0</v>
      </c>
      <c r="W698">
        <v>0</v>
      </c>
      <c r="X698">
        <v>2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1</v>
      </c>
      <c r="AI698" t="s">
        <v>460</v>
      </c>
      <c r="AJ698">
        <v>35.801740000000002</v>
      </c>
      <c r="AK698" t="s">
        <v>461</v>
      </c>
      <c r="AL698">
        <v>-83.937886000000006</v>
      </c>
      <c r="AM698">
        <v>25</v>
      </c>
      <c r="AN698">
        <v>1600</v>
      </c>
      <c r="AO698" t="s">
        <v>118</v>
      </c>
      <c r="AP698">
        <v>-74</v>
      </c>
      <c r="AQ698">
        <v>-59</v>
      </c>
      <c r="AR698">
        <v>-128</v>
      </c>
      <c r="AZ698">
        <v>300</v>
      </c>
      <c r="BA698">
        <v>1</v>
      </c>
      <c r="BB698" t="str">
        <f t="shared" si="32"/>
        <v xml:space="preserve">N162AM  </v>
      </c>
      <c r="BC698">
        <v>1</v>
      </c>
      <c r="BE698">
        <v>0</v>
      </c>
      <c r="BF698">
        <v>0</v>
      </c>
      <c r="BG698">
        <v>0</v>
      </c>
      <c r="BH698">
        <v>1850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>"14:45:39.319"</f>
        <v>14:45:39.319</v>
      </c>
      <c r="CJ698">
        <v>3</v>
      </c>
      <c r="CK698">
        <v>2</v>
      </c>
      <c r="CL698">
        <v>0</v>
      </c>
      <c r="CM698">
        <v>2</v>
      </c>
      <c r="CN698">
        <v>0</v>
      </c>
      <c r="CO698">
        <v>3</v>
      </c>
      <c r="CP698" t="s">
        <v>119</v>
      </c>
      <c r="CQ698">
        <v>232</v>
      </c>
      <c r="CR698">
        <v>2</v>
      </c>
      <c r="CW698">
        <v>6296834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1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"12/16/2021 14:45:39.555"</f>
        <v>12/16/2021 14:45:39.555</v>
      </c>
      <c r="C699" t="str">
        <f t="shared" si="31"/>
        <v>FFDFD3C0</v>
      </c>
      <c r="D699" t="s">
        <v>113</v>
      </c>
      <c r="E699">
        <v>8</v>
      </c>
      <c r="H699">
        <v>176</v>
      </c>
      <c r="I699" t="s">
        <v>114</v>
      </c>
      <c r="J699" t="s">
        <v>115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"14:45:39.313"</f>
        <v>14:45:39.313</v>
      </c>
      <c r="T699" t="str">
        <f>"14:45:38.913"</f>
        <v>14:45:38.913</v>
      </c>
      <c r="U699" t="str">
        <f t="shared" si="30"/>
        <v>A0F928</v>
      </c>
      <c r="V699">
        <v>0</v>
      </c>
      <c r="W699">
        <v>0</v>
      </c>
      <c r="X699">
        <v>2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1</v>
      </c>
      <c r="AI699" t="s">
        <v>460</v>
      </c>
      <c r="AJ699">
        <v>35.801740000000002</v>
      </c>
      <c r="AK699" t="s">
        <v>461</v>
      </c>
      <c r="AL699">
        <v>-83.937886000000006</v>
      </c>
      <c r="AM699">
        <v>25</v>
      </c>
      <c r="AN699">
        <v>1600</v>
      </c>
      <c r="AO699" t="s">
        <v>118</v>
      </c>
      <c r="AP699">
        <v>-74</v>
      </c>
      <c r="AQ699">
        <v>-59</v>
      </c>
      <c r="AR699">
        <v>-128</v>
      </c>
      <c r="AZ699">
        <v>300</v>
      </c>
      <c r="BA699">
        <v>1</v>
      </c>
      <c r="BB699" t="str">
        <f t="shared" si="32"/>
        <v xml:space="preserve">N162AM  </v>
      </c>
      <c r="BC699">
        <v>1</v>
      </c>
      <c r="BE699">
        <v>0</v>
      </c>
      <c r="BF699">
        <v>0</v>
      </c>
      <c r="BG699">
        <v>0</v>
      </c>
      <c r="BH699">
        <v>1850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>"14:45:39.319"</f>
        <v>14:45:39.319</v>
      </c>
      <c r="CJ699">
        <v>3</v>
      </c>
      <c r="CK699">
        <v>2</v>
      </c>
      <c r="CL699">
        <v>0</v>
      </c>
      <c r="CM699">
        <v>2</v>
      </c>
      <c r="CN699">
        <v>0</v>
      </c>
      <c r="CO699">
        <v>3</v>
      </c>
      <c r="CP699" t="s">
        <v>119</v>
      </c>
      <c r="CQ699">
        <v>232</v>
      </c>
      <c r="CR699">
        <v>2</v>
      </c>
      <c r="CW699">
        <v>6296834</v>
      </c>
      <c r="CY699">
        <v>1</v>
      </c>
      <c r="CZ699">
        <v>0</v>
      </c>
      <c r="DA699">
        <v>1</v>
      </c>
      <c r="DB699">
        <v>0</v>
      </c>
      <c r="DC699">
        <v>0</v>
      </c>
      <c r="DD699">
        <v>1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"12/16/2021 14:45:39.555"</f>
        <v>12/16/2021 14:45:39.555</v>
      </c>
      <c r="C700" t="str">
        <f t="shared" si="31"/>
        <v>FFDFD3C0</v>
      </c>
      <c r="D700" t="s">
        <v>133</v>
      </c>
      <c r="E700">
        <v>44</v>
      </c>
      <c r="H700">
        <v>131</v>
      </c>
      <c r="I700" t="s">
        <v>134</v>
      </c>
      <c r="J700" t="s">
        <v>135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"14:45:39.313"</f>
        <v>14:45:39.313</v>
      </c>
      <c r="T700" t="str">
        <f>"14:45:38.913"</f>
        <v>14:45:38.913</v>
      </c>
      <c r="U700" t="str">
        <f t="shared" si="30"/>
        <v>A0F928</v>
      </c>
      <c r="V700">
        <v>0</v>
      </c>
      <c r="W700">
        <v>0</v>
      </c>
      <c r="X700">
        <v>2</v>
      </c>
      <c r="Z700">
        <v>0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1</v>
      </c>
      <c r="AI700" t="s">
        <v>460</v>
      </c>
      <c r="AJ700">
        <v>35.801740000000002</v>
      </c>
      <c r="AK700" t="s">
        <v>461</v>
      </c>
      <c r="AL700">
        <v>-83.937886000000006</v>
      </c>
      <c r="AM700">
        <v>25</v>
      </c>
      <c r="AN700">
        <v>1600</v>
      </c>
      <c r="AO700" t="s">
        <v>118</v>
      </c>
      <c r="AP700">
        <v>-74</v>
      </c>
      <c r="AQ700">
        <v>-59</v>
      </c>
      <c r="AR700">
        <v>-128</v>
      </c>
      <c r="AZ700">
        <v>300</v>
      </c>
      <c r="BA700">
        <v>1</v>
      </c>
      <c r="BB700" t="str">
        <f t="shared" si="32"/>
        <v xml:space="preserve">N162AM  </v>
      </c>
      <c r="BC700">
        <v>1</v>
      </c>
      <c r="BE700">
        <v>0</v>
      </c>
      <c r="BF700">
        <v>0</v>
      </c>
      <c r="BG700">
        <v>0</v>
      </c>
      <c r="BH700">
        <v>1850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>"14:45:39.319"</f>
        <v>14:45:39.319</v>
      </c>
      <c r="CJ700">
        <v>3</v>
      </c>
      <c r="CK700">
        <v>2</v>
      </c>
      <c r="CL700">
        <v>0</v>
      </c>
      <c r="CM700">
        <v>2</v>
      </c>
      <c r="CN700">
        <v>0</v>
      </c>
      <c r="CO700">
        <v>3</v>
      </c>
      <c r="CP700" t="s">
        <v>119</v>
      </c>
      <c r="CQ700">
        <v>232</v>
      </c>
      <c r="CR700">
        <v>2</v>
      </c>
      <c r="CW700">
        <v>6296834</v>
      </c>
      <c r="CY700">
        <v>1</v>
      </c>
      <c r="CZ700">
        <v>0</v>
      </c>
      <c r="DA700">
        <v>1</v>
      </c>
      <c r="DB700">
        <v>0</v>
      </c>
      <c r="DC700">
        <v>0</v>
      </c>
      <c r="DD700">
        <v>1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"12/16/2021 14:45:40.506"</f>
        <v>12/16/2021 14:45:40.506</v>
      </c>
      <c r="C701" t="str">
        <f t="shared" si="31"/>
        <v>FFDFD3C0</v>
      </c>
      <c r="D701" t="s">
        <v>124</v>
      </c>
      <c r="E701">
        <v>10</v>
      </c>
      <c r="F701">
        <v>1010</v>
      </c>
      <c r="G701" t="s">
        <v>130</v>
      </c>
      <c r="J701" t="s">
        <v>125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"14:45:40.305"</f>
        <v>14:45:40.305</v>
      </c>
      <c r="T701" t="str">
        <f>"14:45:39.805"</f>
        <v>14:45:39.805</v>
      </c>
      <c r="U701" t="str">
        <f t="shared" si="30"/>
        <v>A0F928</v>
      </c>
      <c r="V701">
        <v>0</v>
      </c>
      <c r="W701">
        <v>0</v>
      </c>
      <c r="X701">
        <v>2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1</v>
      </c>
      <c r="AI701" t="s">
        <v>462</v>
      </c>
      <c r="AJ701">
        <v>35.801504000000001</v>
      </c>
      <c r="AK701" t="s">
        <v>463</v>
      </c>
      <c r="AL701">
        <v>-83.938357999999994</v>
      </c>
      <c r="AM701">
        <v>25</v>
      </c>
      <c r="AN701">
        <v>1600</v>
      </c>
      <c r="AO701" t="s">
        <v>118</v>
      </c>
      <c r="AP701">
        <v>-78</v>
      </c>
      <c r="AQ701">
        <v>-56</v>
      </c>
      <c r="AR701">
        <v>-128</v>
      </c>
      <c r="AZ701">
        <v>300</v>
      </c>
      <c r="BA701">
        <v>1</v>
      </c>
      <c r="BB701" t="str">
        <f t="shared" si="32"/>
        <v xml:space="preserve">N162AM  </v>
      </c>
      <c r="BC701">
        <v>1</v>
      </c>
      <c r="BE701">
        <v>0</v>
      </c>
      <c r="BF701">
        <v>0</v>
      </c>
      <c r="BG701">
        <v>0</v>
      </c>
      <c r="BH701">
        <v>1850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>"14:45:40.312"</f>
        <v>14:45:40.312</v>
      </c>
      <c r="CJ701">
        <v>3</v>
      </c>
      <c r="CK701">
        <v>2</v>
      </c>
      <c r="CL701">
        <v>0</v>
      </c>
      <c r="CM701">
        <v>2</v>
      </c>
      <c r="CN701">
        <v>0</v>
      </c>
      <c r="CO701">
        <v>4</v>
      </c>
      <c r="CP701" t="s">
        <v>119</v>
      </c>
      <c r="CQ701">
        <v>232</v>
      </c>
      <c r="CR701">
        <v>2</v>
      </c>
      <c r="CW701">
        <v>6298213</v>
      </c>
      <c r="CY701">
        <v>1</v>
      </c>
      <c r="CZ701">
        <v>0</v>
      </c>
      <c r="DA701">
        <v>0</v>
      </c>
      <c r="DB701">
        <v>0</v>
      </c>
      <c r="DC701">
        <v>0</v>
      </c>
      <c r="DD701">
        <v>1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"12/16/2021 14:45:40.506"</f>
        <v>12/16/2021 14:45:40.506</v>
      </c>
      <c r="C702" t="str">
        <f t="shared" si="31"/>
        <v>FFDFD3C0</v>
      </c>
      <c r="D702" t="s">
        <v>124</v>
      </c>
      <c r="E702">
        <v>5</v>
      </c>
      <c r="F702">
        <v>1005</v>
      </c>
      <c r="G702" t="s">
        <v>114</v>
      </c>
      <c r="J702" t="s">
        <v>125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"14:45:40.305"</f>
        <v>14:45:40.305</v>
      </c>
      <c r="T702" t="str">
        <f>"14:45:39.805"</f>
        <v>14:45:39.805</v>
      </c>
      <c r="U702" t="str">
        <f t="shared" si="30"/>
        <v>A0F928</v>
      </c>
      <c r="V702">
        <v>0</v>
      </c>
      <c r="W702">
        <v>0</v>
      </c>
      <c r="X702">
        <v>2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1</v>
      </c>
      <c r="AI702" t="s">
        <v>462</v>
      </c>
      <c r="AJ702">
        <v>35.801504000000001</v>
      </c>
      <c r="AK702" t="s">
        <v>463</v>
      </c>
      <c r="AL702">
        <v>-83.938357999999994</v>
      </c>
      <c r="AM702">
        <v>25</v>
      </c>
      <c r="AN702">
        <v>1600</v>
      </c>
      <c r="AO702" t="s">
        <v>118</v>
      </c>
      <c r="AP702">
        <v>-78</v>
      </c>
      <c r="AQ702">
        <v>-56</v>
      </c>
      <c r="AR702">
        <v>-128</v>
      </c>
      <c r="AZ702">
        <v>300</v>
      </c>
      <c r="BA702">
        <v>1</v>
      </c>
      <c r="BB702" t="str">
        <f t="shared" si="32"/>
        <v xml:space="preserve">N162AM  </v>
      </c>
      <c r="BC702">
        <v>1</v>
      </c>
      <c r="BE702">
        <v>0</v>
      </c>
      <c r="BF702">
        <v>0</v>
      </c>
      <c r="BG702">
        <v>0</v>
      </c>
      <c r="BH702">
        <v>1850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>"14:45:40.312"</f>
        <v>14:45:40.312</v>
      </c>
      <c r="CJ702">
        <v>3</v>
      </c>
      <c r="CK702">
        <v>2</v>
      </c>
      <c r="CL702">
        <v>0</v>
      </c>
      <c r="CM702">
        <v>2</v>
      </c>
      <c r="CN702">
        <v>0</v>
      </c>
      <c r="CO702">
        <v>4</v>
      </c>
      <c r="CP702" t="s">
        <v>119</v>
      </c>
      <c r="CQ702">
        <v>232</v>
      </c>
      <c r="CR702">
        <v>2</v>
      </c>
      <c r="CW702">
        <v>6298213</v>
      </c>
      <c r="CY702">
        <v>1</v>
      </c>
      <c r="CZ702">
        <v>0</v>
      </c>
      <c r="DA702">
        <v>1</v>
      </c>
      <c r="DB702">
        <v>0</v>
      </c>
      <c r="DC702">
        <v>0</v>
      </c>
      <c r="DD702">
        <v>1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"12/16/2021 14:45:40.506"</f>
        <v>12/16/2021 14:45:40.506</v>
      </c>
      <c r="C703" t="str">
        <f t="shared" si="31"/>
        <v>FFDFD3C0</v>
      </c>
      <c r="D703" t="s">
        <v>113</v>
      </c>
      <c r="E703">
        <v>8</v>
      </c>
      <c r="H703">
        <v>176</v>
      </c>
      <c r="I703" t="s">
        <v>114</v>
      </c>
      <c r="J703" t="s">
        <v>115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"14:45:40.305"</f>
        <v>14:45:40.305</v>
      </c>
      <c r="T703" t="str">
        <f>"14:45:39.805"</f>
        <v>14:45:39.805</v>
      </c>
      <c r="U703" t="str">
        <f t="shared" si="30"/>
        <v>A0F928</v>
      </c>
      <c r="V703">
        <v>0</v>
      </c>
      <c r="W703">
        <v>0</v>
      </c>
      <c r="X703">
        <v>2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1</v>
      </c>
      <c r="AI703" t="s">
        <v>462</v>
      </c>
      <c r="AJ703">
        <v>35.801504000000001</v>
      </c>
      <c r="AK703" t="s">
        <v>463</v>
      </c>
      <c r="AL703">
        <v>-83.938357999999994</v>
      </c>
      <c r="AM703">
        <v>25</v>
      </c>
      <c r="AN703">
        <v>1600</v>
      </c>
      <c r="AO703" t="s">
        <v>118</v>
      </c>
      <c r="AP703">
        <v>-78</v>
      </c>
      <c r="AQ703">
        <v>-56</v>
      </c>
      <c r="AR703">
        <v>-128</v>
      </c>
      <c r="AZ703">
        <v>300</v>
      </c>
      <c r="BA703">
        <v>1</v>
      </c>
      <c r="BB703" t="str">
        <f t="shared" si="32"/>
        <v xml:space="preserve">N162AM  </v>
      </c>
      <c r="BC703">
        <v>1</v>
      </c>
      <c r="BE703">
        <v>0</v>
      </c>
      <c r="BF703">
        <v>0</v>
      </c>
      <c r="BG703">
        <v>0</v>
      </c>
      <c r="BH703">
        <v>1850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>"14:45:40.312"</f>
        <v>14:45:40.312</v>
      </c>
      <c r="CJ703">
        <v>3</v>
      </c>
      <c r="CK703">
        <v>2</v>
      </c>
      <c r="CL703">
        <v>0</v>
      </c>
      <c r="CM703">
        <v>2</v>
      </c>
      <c r="CN703">
        <v>0</v>
      </c>
      <c r="CO703">
        <v>4</v>
      </c>
      <c r="CP703" t="s">
        <v>119</v>
      </c>
      <c r="CQ703">
        <v>232</v>
      </c>
      <c r="CR703">
        <v>2</v>
      </c>
      <c r="CW703">
        <v>6298213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1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"12/16/2021 14:45:40.506"</f>
        <v>12/16/2021 14:45:40.506</v>
      </c>
      <c r="C704" t="str">
        <f t="shared" si="31"/>
        <v>FFDFD3C0</v>
      </c>
      <c r="D704" t="s">
        <v>133</v>
      </c>
      <c r="E704">
        <v>44</v>
      </c>
      <c r="H704">
        <v>131</v>
      </c>
      <c r="I704" t="s">
        <v>134</v>
      </c>
      <c r="J704" t="s">
        <v>135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"14:45:40.305"</f>
        <v>14:45:40.305</v>
      </c>
      <c r="T704" t="str">
        <f>"14:45:39.805"</f>
        <v>14:45:39.805</v>
      </c>
      <c r="U704" t="str">
        <f t="shared" si="30"/>
        <v>A0F928</v>
      </c>
      <c r="V704">
        <v>0</v>
      </c>
      <c r="W704">
        <v>0</v>
      </c>
      <c r="X704">
        <v>2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1</v>
      </c>
      <c r="AI704" t="s">
        <v>462</v>
      </c>
      <c r="AJ704">
        <v>35.801504000000001</v>
      </c>
      <c r="AK704" t="s">
        <v>463</v>
      </c>
      <c r="AL704">
        <v>-83.938357999999994</v>
      </c>
      <c r="AM704">
        <v>25</v>
      </c>
      <c r="AN704">
        <v>1600</v>
      </c>
      <c r="AO704" t="s">
        <v>118</v>
      </c>
      <c r="AP704">
        <v>-78</v>
      </c>
      <c r="AQ704">
        <v>-56</v>
      </c>
      <c r="AR704">
        <v>-128</v>
      </c>
      <c r="AZ704">
        <v>300</v>
      </c>
      <c r="BA704">
        <v>1</v>
      </c>
      <c r="BB704" t="str">
        <f t="shared" si="32"/>
        <v xml:space="preserve">N162AM  </v>
      </c>
      <c r="BC704">
        <v>1</v>
      </c>
      <c r="BE704">
        <v>0</v>
      </c>
      <c r="BF704">
        <v>0</v>
      </c>
      <c r="BG704">
        <v>0</v>
      </c>
      <c r="BH704">
        <v>1850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>"14:45:40.312"</f>
        <v>14:45:40.312</v>
      </c>
      <c r="CJ704">
        <v>3</v>
      </c>
      <c r="CK704">
        <v>2</v>
      </c>
      <c r="CL704">
        <v>0</v>
      </c>
      <c r="CM704">
        <v>2</v>
      </c>
      <c r="CN704">
        <v>0</v>
      </c>
      <c r="CO704">
        <v>4</v>
      </c>
      <c r="CP704" t="s">
        <v>119</v>
      </c>
      <c r="CQ704">
        <v>232</v>
      </c>
      <c r="CR704">
        <v>2</v>
      </c>
      <c r="CW704">
        <v>6298213</v>
      </c>
      <c r="CY704">
        <v>1</v>
      </c>
      <c r="CZ704">
        <v>0</v>
      </c>
      <c r="DA704">
        <v>1</v>
      </c>
      <c r="DB704">
        <v>0</v>
      </c>
      <c r="DC704">
        <v>0</v>
      </c>
      <c r="DD704">
        <v>1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"12/16/2021 14:45:41.490"</f>
        <v>12/16/2021 14:45:41.490</v>
      </c>
      <c r="C705" t="str">
        <f t="shared" si="31"/>
        <v>FFDFD3C0</v>
      </c>
      <c r="D705" t="s">
        <v>124</v>
      </c>
      <c r="E705">
        <v>10</v>
      </c>
      <c r="F705">
        <v>1010</v>
      </c>
      <c r="G705" t="s">
        <v>130</v>
      </c>
      <c r="J705" t="s">
        <v>125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"14:45:41.305"</f>
        <v>14:45:41.305</v>
      </c>
      <c r="T705" t="str">
        <f>"14:45:40.905"</f>
        <v>14:45:40.905</v>
      </c>
      <c r="U705" t="str">
        <f t="shared" si="30"/>
        <v>A0F928</v>
      </c>
      <c r="V705">
        <v>0</v>
      </c>
      <c r="W705">
        <v>0</v>
      </c>
      <c r="X705">
        <v>2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1</v>
      </c>
      <c r="AI705" t="s">
        <v>464</v>
      </c>
      <c r="AJ705">
        <v>35.801268</v>
      </c>
      <c r="AK705" t="s">
        <v>465</v>
      </c>
      <c r="AL705">
        <v>-83.938829999999996</v>
      </c>
      <c r="AM705">
        <v>25</v>
      </c>
      <c r="AN705">
        <v>1600</v>
      </c>
      <c r="AO705" t="s">
        <v>118</v>
      </c>
      <c r="AP705">
        <v>-82</v>
      </c>
      <c r="AQ705">
        <v>-51</v>
      </c>
      <c r="AR705">
        <v>-128</v>
      </c>
      <c r="AZ705">
        <v>300</v>
      </c>
      <c r="BA705">
        <v>1</v>
      </c>
      <c r="BB705" t="str">
        <f t="shared" si="32"/>
        <v xml:space="preserve">N162AM  </v>
      </c>
      <c r="BC705">
        <v>1</v>
      </c>
      <c r="BE705">
        <v>0</v>
      </c>
      <c r="BF705">
        <v>0</v>
      </c>
      <c r="BG705">
        <v>0</v>
      </c>
      <c r="BH705">
        <v>1850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>"14:45:41.306"</f>
        <v>14:45:41.306</v>
      </c>
      <c r="CJ705">
        <v>3</v>
      </c>
      <c r="CK705">
        <v>2</v>
      </c>
      <c r="CL705">
        <v>0</v>
      </c>
      <c r="CM705">
        <v>2</v>
      </c>
      <c r="CN705">
        <v>0</v>
      </c>
      <c r="CO705">
        <v>6</v>
      </c>
      <c r="CP705" t="s">
        <v>119</v>
      </c>
      <c r="CQ705">
        <v>232</v>
      </c>
      <c r="CR705">
        <v>1</v>
      </c>
      <c r="CW705">
        <v>15105819</v>
      </c>
      <c r="CY705">
        <v>1</v>
      </c>
      <c r="CZ705">
        <v>0</v>
      </c>
      <c r="DA705">
        <v>0</v>
      </c>
      <c r="DB705">
        <v>0</v>
      </c>
      <c r="DC705">
        <v>0</v>
      </c>
      <c r="DD705">
        <v>1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"12/16/2021 14:45:41.490"</f>
        <v>12/16/2021 14:45:41.490</v>
      </c>
      <c r="C706" t="str">
        <f t="shared" si="31"/>
        <v>FFDFD3C0</v>
      </c>
      <c r="D706" t="s">
        <v>113</v>
      </c>
      <c r="E706">
        <v>8</v>
      </c>
      <c r="H706">
        <v>176</v>
      </c>
      <c r="I706" t="s">
        <v>114</v>
      </c>
      <c r="J706" t="s">
        <v>115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"14:45:41.305"</f>
        <v>14:45:41.305</v>
      </c>
      <c r="T706" t="str">
        <f>"14:45:40.905"</f>
        <v>14:45:40.905</v>
      </c>
      <c r="U706" t="str">
        <f t="shared" ref="U706:U769" si="33">"A0F928"</f>
        <v>A0F928</v>
      </c>
      <c r="V706">
        <v>0</v>
      </c>
      <c r="W706">
        <v>0</v>
      </c>
      <c r="X706">
        <v>2</v>
      </c>
      <c r="Z706">
        <v>0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1</v>
      </c>
      <c r="AI706" t="s">
        <v>464</v>
      </c>
      <c r="AJ706">
        <v>35.801268</v>
      </c>
      <c r="AK706" t="s">
        <v>465</v>
      </c>
      <c r="AL706">
        <v>-83.938829999999996</v>
      </c>
      <c r="AM706">
        <v>25</v>
      </c>
      <c r="AN706">
        <v>1600</v>
      </c>
      <c r="AO706" t="s">
        <v>118</v>
      </c>
      <c r="AP706">
        <v>-82</v>
      </c>
      <c r="AQ706">
        <v>-51</v>
      </c>
      <c r="AR706">
        <v>-128</v>
      </c>
      <c r="AZ706">
        <v>300</v>
      </c>
      <c r="BA706">
        <v>1</v>
      </c>
      <c r="BB706" t="str">
        <f t="shared" si="32"/>
        <v xml:space="preserve">N162AM  </v>
      </c>
      <c r="BC706">
        <v>1</v>
      </c>
      <c r="BE706">
        <v>0</v>
      </c>
      <c r="BF706">
        <v>0</v>
      </c>
      <c r="BG706">
        <v>0</v>
      </c>
      <c r="BH706">
        <v>1850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>"14:45:41.306"</f>
        <v>14:45:41.306</v>
      </c>
      <c r="CJ706">
        <v>3</v>
      </c>
      <c r="CK706">
        <v>2</v>
      </c>
      <c r="CL706">
        <v>0</v>
      </c>
      <c r="CM706">
        <v>2</v>
      </c>
      <c r="CN706">
        <v>0</v>
      </c>
      <c r="CO706">
        <v>6</v>
      </c>
      <c r="CP706" t="s">
        <v>119</v>
      </c>
      <c r="CQ706">
        <v>232</v>
      </c>
      <c r="CR706">
        <v>1</v>
      </c>
      <c r="CW706">
        <v>15105819</v>
      </c>
      <c r="CY706">
        <v>1</v>
      </c>
      <c r="CZ706">
        <v>0</v>
      </c>
      <c r="DA706">
        <v>1</v>
      </c>
      <c r="DB706">
        <v>0</v>
      </c>
      <c r="DC706">
        <v>0</v>
      </c>
      <c r="DD706">
        <v>1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"12/16/2021 14:45:41.490"</f>
        <v>12/16/2021 14:45:41.490</v>
      </c>
      <c r="C707" t="str">
        <f t="shared" si="31"/>
        <v>FFDFD3C0</v>
      </c>
      <c r="D707" t="s">
        <v>124</v>
      </c>
      <c r="E707">
        <v>5</v>
      </c>
      <c r="F707">
        <v>1005</v>
      </c>
      <c r="G707" t="s">
        <v>114</v>
      </c>
      <c r="J707" t="s">
        <v>125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"14:45:41.305"</f>
        <v>14:45:41.305</v>
      </c>
      <c r="T707" t="str">
        <f>"14:45:40.905"</f>
        <v>14:45:40.905</v>
      </c>
      <c r="U707" t="str">
        <f t="shared" si="33"/>
        <v>A0F928</v>
      </c>
      <c r="V707">
        <v>0</v>
      </c>
      <c r="W707">
        <v>0</v>
      </c>
      <c r="X707">
        <v>2</v>
      </c>
      <c r="Z707">
        <v>0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1</v>
      </c>
      <c r="AI707" t="s">
        <v>464</v>
      </c>
      <c r="AJ707">
        <v>35.801268</v>
      </c>
      <c r="AK707" t="s">
        <v>465</v>
      </c>
      <c r="AL707">
        <v>-83.938829999999996</v>
      </c>
      <c r="AM707">
        <v>25</v>
      </c>
      <c r="AN707">
        <v>1600</v>
      </c>
      <c r="AO707" t="s">
        <v>118</v>
      </c>
      <c r="AP707">
        <v>-82</v>
      </c>
      <c r="AQ707">
        <v>-51</v>
      </c>
      <c r="AR707">
        <v>-128</v>
      </c>
      <c r="AZ707">
        <v>300</v>
      </c>
      <c r="BA707">
        <v>1</v>
      </c>
      <c r="BB707" t="str">
        <f t="shared" si="32"/>
        <v xml:space="preserve">N162AM  </v>
      </c>
      <c r="BC707">
        <v>1</v>
      </c>
      <c r="BE707">
        <v>0</v>
      </c>
      <c r="BF707">
        <v>0</v>
      </c>
      <c r="BG707">
        <v>0</v>
      </c>
      <c r="BH707">
        <v>1850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>"14:45:41.306"</f>
        <v>14:45:41.306</v>
      </c>
      <c r="CJ707">
        <v>3</v>
      </c>
      <c r="CK707">
        <v>2</v>
      </c>
      <c r="CL707">
        <v>0</v>
      </c>
      <c r="CM707">
        <v>2</v>
      </c>
      <c r="CN707">
        <v>0</v>
      </c>
      <c r="CO707">
        <v>6</v>
      </c>
      <c r="CP707" t="s">
        <v>119</v>
      </c>
      <c r="CQ707">
        <v>232</v>
      </c>
      <c r="CR707">
        <v>1</v>
      </c>
      <c r="CW707">
        <v>15105819</v>
      </c>
      <c r="CY707">
        <v>1</v>
      </c>
      <c r="CZ707">
        <v>0</v>
      </c>
      <c r="DA707">
        <v>1</v>
      </c>
      <c r="DB707">
        <v>0</v>
      </c>
      <c r="DC707">
        <v>0</v>
      </c>
      <c r="DD707">
        <v>1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"12/16/2021 14:45:41.553"</f>
        <v>12/16/2021 14:45:41.553</v>
      </c>
      <c r="C708" t="str">
        <f t="shared" si="31"/>
        <v>FFDFD3C0</v>
      </c>
      <c r="D708" t="s">
        <v>133</v>
      </c>
      <c r="E708">
        <v>44</v>
      </c>
      <c r="H708">
        <v>131</v>
      </c>
      <c r="I708" t="s">
        <v>134</v>
      </c>
      <c r="J708" t="s">
        <v>135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"14:45:41.305"</f>
        <v>14:45:41.305</v>
      </c>
      <c r="T708" t="str">
        <f>"14:45:40.905"</f>
        <v>14:45:40.905</v>
      </c>
      <c r="U708" t="str">
        <f t="shared" si="33"/>
        <v>A0F928</v>
      </c>
      <c r="V708">
        <v>0</v>
      </c>
      <c r="W708">
        <v>0</v>
      </c>
      <c r="X708">
        <v>2</v>
      </c>
      <c r="Z708">
        <v>0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1</v>
      </c>
      <c r="AI708" t="s">
        <v>464</v>
      </c>
      <c r="AJ708">
        <v>35.801268</v>
      </c>
      <c r="AK708" t="s">
        <v>465</v>
      </c>
      <c r="AL708">
        <v>-83.938829999999996</v>
      </c>
      <c r="AM708">
        <v>25</v>
      </c>
      <c r="AN708">
        <v>1600</v>
      </c>
      <c r="AO708" t="s">
        <v>118</v>
      </c>
      <c r="AP708">
        <v>-82</v>
      </c>
      <c r="AQ708">
        <v>-51</v>
      </c>
      <c r="AR708">
        <v>-128</v>
      </c>
      <c r="AZ708">
        <v>300</v>
      </c>
      <c r="BA708">
        <v>1</v>
      </c>
      <c r="BB708" t="str">
        <f t="shared" si="32"/>
        <v xml:space="preserve">N162AM  </v>
      </c>
      <c r="BC708">
        <v>1</v>
      </c>
      <c r="BE708">
        <v>0</v>
      </c>
      <c r="BF708">
        <v>0</v>
      </c>
      <c r="BG708">
        <v>0</v>
      </c>
      <c r="BH708">
        <v>1850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>"14:45:41.306"</f>
        <v>14:45:41.306</v>
      </c>
      <c r="CJ708">
        <v>3</v>
      </c>
      <c r="CK708">
        <v>2</v>
      </c>
      <c r="CL708">
        <v>0</v>
      </c>
      <c r="CM708">
        <v>2</v>
      </c>
      <c r="CN708">
        <v>0</v>
      </c>
      <c r="CO708">
        <v>6</v>
      </c>
      <c r="CP708" t="s">
        <v>119</v>
      </c>
      <c r="CQ708">
        <v>232</v>
      </c>
      <c r="CR708">
        <v>1</v>
      </c>
      <c r="CW708">
        <v>15105819</v>
      </c>
      <c r="CY708">
        <v>1</v>
      </c>
      <c r="CZ708">
        <v>0</v>
      </c>
      <c r="DA708">
        <v>1</v>
      </c>
      <c r="DB708">
        <v>0</v>
      </c>
      <c r="DC708">
        <v>0</v>
      </c>
      <c r="DD708">
        <v>1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"12/16/2021 14:45:42.521"</f>
        <v>12/16/2021 14:45:42.521</v>
      </c>
      <c r="C709" t="str">
        <f t="shared" si="31"/>
        <v>FFDFD3C0</v>
      </c>
      <c r="D709" t="s">
        <v>124</v>
      </c>
      <c r="E709">
        <v>10</v>
      </c>
      <c r="F709">
        <v>1010</v>
      </c>
      <c r="G709" t="s">
        <v>130</v>
      </c>
      <c r="J709" t="s">
        <v>125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"14:45:42.289"</f>
        <v>14:45:42.289</v>
      </c>
      <c r="T709" t="str">
        <f>"14:45:41.889"</f>
        <v>14:45:41.889</v>
      </c>
      <c r="U709" t="str">
        <f t="shared" si="33"/>
        <v>A0F928</v>
      </c>
      <c r="V709">
        <v>0</v>
      </c>
      <c r="W709">
        <v>0</v>
      </c>
      <c r="X709">
        <v>2</v>
      </c>
      <c r="Z709">
        <v>0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1</v>
      </c>
      <c r="AI709" t="s">
        <v>466</v>
      </c>
      <c r="AJ709">
        <v>35.801053000000003</v>
      </c>
      <c r="AK709" t="s">
        <v>467</v>
      </c>
      <c r="AL709">
        <v>-83.939280999999994</v>
      </c>
      <c r="AM709">
        <v>25</v>
      </c>
      <c r="AN709">
        <v>1600</v>
      </c>
      <c r="AO709" t="s">
        <v>118</v>
      </c>
      <c r="AP709">
        <v>-86</v>
      </c>
      <c r="AQ709">
        <v>-46</v>
      </c>
      <c r="AR709">
        <v>-128</v>
      </c>
      <c r="AZ709">
        <v>300</v>
      </c>
      <c r="BA709">
        <v>1</v>
      </c>
      <c r="BB709" t="str">
        <f t="shared" si="32"/>
        <v xml:space="preserve">N162AM  </v>
      </c>
      <c r="BC709">
        <v>1</v>
      </c>
      <c r="BE709">
        <v>0</v>
      </c>
      <c r="BF709">
        <v>0</v>
      </c>
      <c r="BG709">
        <v>0</v>
      </c>
      <c r="BH709">
        <v>1875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>"14:45:42.294"</f>
        <v>14:45:42.294</v>
      </c>
      <c r="CJ709">
        <v>3</v>
      </c>
      <c r="CK709">
        <v>2</v>
      </c>
      <c r="CL709">
        <v>0</v>
      </c>
      <c r="CM709">
        <v>2</v>
      </c>
      <c r="CN709">
        <v>0</v>
      </c>
      <c r="CO709">
        <v>5</v>
      </c>
      <c r="CP709" t="s">
        <v>119</v>
      </c>
      <c r="CQ709">
        <v>232</v>
      </c>
      <c r="CR709">
        <v>1</v>
      </c>
      <c r="CW709">
        <v>15107382</v>
      </c>
      <c r="CY709">
        <v>1</v>
      </c>
      <c r="CZ709">
        <v>0</v>
      </c>
      <c r="DA709">
        <v>0</v>
      </c>
      <c r="DB709">
        <v>0</v>
      </c>
      <c r="DC709">
        <v>0</v>
      </c>
      <c r="DD709">
        <v>1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"12/16/2021 14:45:42.521"</f>
        <v>12/16/2021 14:45:42.521</v>
      </c>
      <c r="C710" t="str">
        <f t="shared" si="31"/>
        <v>FFDFD3C0</v>
      </c>
      <c r="D710" t="s">
        <v>124</v>
      </c>
      <c r="E710">
        <v>5</v>
      </c>
      <c r="F710">
        <v>1005</v>
      </c>
      <c r="G710" t="s">
        <v>114</v>
      </c>
      <c r="J710" t="s">
        <v>125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"14:45:42.289"</f>
        <v>14:45:42.289</v>
      </c>
      <c r="T710" t="str">
        <f>"14:45:41.889"</f>
        <v>14:45:41.889</v>
      </c>
      <c r="U710" t="str">
        <f t="shared" si="33"/>
        <v>A0F928</v>
      </c>
      <c r="V710">
        <v>0</v>
      </c>
      <c r="W710">
        <v>0</v>
      </c>
      <c r="X710">
        <v>2</v>
      </c>
      <c r="Z710">
        <v>0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1</v>
      </c>
      <c r="AI710" t="s">
        <v>466</v>
      </c>
      <c r="AJ710">
        <v>35.801053000000003</v>
      </c>
      <c r="AK710" t="s">
        <v>467</v>
      </c>
      <c r="AL710">
        <v>-83.939280999999994</v>
      </c>
      <c r="AM710">
        <v>25</v>
      </c>
      <c r="AN710">
        <v>1600</v>
      </c>
      <c r="AO710" t="s">
        <v>118</v>
      </c>
      <c r="AP710">
        <v>-86</v>
      </c>
      <c r="AQ710">
        <v>-46</v>
      </c>
      <c r="AR710">
        <v>-128</v>
      </c>
      <c r="AZ710">
        <v>300</v>
      </c>
      <c r="BA710">
        <v>1</v>
      </c>
      <c r="BB710" t="str">
        <f t="shared" si="32"/>
        <v xml:space="preserve">N162AM  </v>
      </c>
      <c r="BC710">
        <v>1</v>
      </c>
      <c r="BE710">
        <v>0</v>
      </c>
      <c r="BF710">
        <v>0</v>
      </c>
      <c r="BG710">
        <v>0</v>
      </c>
      <c r="BH710">
        <v>1875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>"14:45:42.294"</f>
        <v>14:45:42.294</v>
      </c>
      <c r="CJ710">
        <v>3</v>
      </c>
      <c r="CK710">
        <v>2</v>
      </c>
      <c r="CL710">
        <v>0</v>
      </c>
      <c r="CM710">
        <v>2</v>
      </c>
      <c r="CN710">
        <v>0</v>
      </c>
      <c r="CO710">
        <v>5</v>
      </c>
      <c r="CP710" t="s">
        <v>119</v>
      </c>
      <c r="CQ710">
        <v>232</v>
      </c>
      <c r="CR710">
        <v>1</v>
      </c>
      <c r="CW710">
        <v>15107382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1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"12/16/2021 14:45:42.521"</f>
        <v>12/16/2021 14:45:42.521</v>
      </c>
      <c r="C711" t="str">
        <f t="shared" si="31"/>
        <v>FFDFD3C0</v>
      </c>
      <c r="D711" t="s">
        <v>113</v>
      </c>
      <c r="E711">
        <v>8</v>
      </c>
      <c r="H711">
        <v>176</v>
      </c>
      <c r="I711" t="s">
        <v>114</v>
      </c>
      <c r="J711" t="s">
        <v>115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"14:45:42.289"</f>
        <v>14:45:42.289</v>
      </c>
      <c r="T711" t="str">
        <f>"14:45:41.889"</f>
        <v>14:45:41.889</v>
      </c>
      <c r="U711" t="str">
        <f t="shared" si="33"/>
        <v>A0F928</v>
      </c>
      <c r="V711">
        <v>0</v>
      </c>
      <c r="W711">
        <v>0</v>
      </c>
      <c r="X711">
        <v>2</v>
      </c>
      <c r="Z711">
        <v>0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1</v>
      </c>
      <c r="AI711" t="s">
        <v>466</v>
      </c>
      <c r="AJ711">
        <v>35.801053000000003</v>
      </c>
      <c r="AK711" t="s">
        <v>467</v>
      </c>
      <c r="AL711">
        <v>-83.939280999999994</v>
      </c>
      <c r="AM711">
        <v>25</v>
      </c>
      <c r="AN711">
        <v>1600</v>
      </c>
      <c r="AO711" t="s">
        <v>118</v>
      </c>
      <c r="AP711">
        <v>-86</v>
      </c>
      <c r="AQ711">
        <v>-46</v>
      </c>
      <c r="AR711">
        <v>-128</v>
      </c>
      <c r="AZ711">
        <v>300</v>
      </c>
      <c r="BA711">
        <v>1</v>
      </c>
      <c r="BB711" t="str">
        <f t="shared" si="32"/>
        <v xml:space="preserve">N162AM  </v>
      </c>
      <c r="BC711">
        <v>1</v>
      </c>
      <c r="BE711">
        <v>0</v>
      </c>
      <c r="BF711">
        <v>0</v>
      </c>
      <c r="BG711">
        <v>0</v>
      </c>
      <c r="BH711">
        <v>1875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>"14:45:42.294"</f>
        <v>14:45:42.294</v>
      </c>
      <c r="CJ711">
        <v>3</v>
      </c>
      <c r="CK711">
        <v>2</v>
      </c>
      <c r="CL711">
        <v>0</v>
      </c>
      <c r="CM711">
        <v>2</v>
      </c>
      <c r="CN711">
        <v>0</v>
      </c>
      <c r="CO711">
        <v>5</v>
      </c>
      <c r="CP711" t="s">
        <v>119</v>
      </c>
      <c r="CQ711">
        <v>232</v>
      </c>
      <c r="CR711">
        <v>1</v>
      </c>
      <c r="CW711">
        <v>15107382</v>
      </c>
      <c r="CY711">
        <v>1</v>
      </c>
      <c r="CZ711">
        <v>0</v>
      </c>
      <c r="DA711">
        <v>1</v>
      </c>
      <c r="DB711">
        <v>0</v>
      </c>
      <c r="DC711">
        <v>0</v>
      </c>
      <c r="DD711">
        <v>1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"12/16/2021 14:45:42.537"</f>
        <v>12/16/2021 14:45:42.537</v>
      </c>
      <c r="C712" t="str">
        <f t="shared" si="31"/>
        <v>FFDFD3C0</v>
      </c>
      <c r="D712" t="s">
        <v>133</v>
      </c>
      <c r="E712">
        <v>44</v>
      </c>
      <c r="H712">
        <v>131</v>
      </c>
      <c r="I712" t="s">
        <v>134</v>
      </c>
      <c r="J712" t="s">
        <v>135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"14:45:42.289"</f>
        <v>14:45:42.289</v>
      </c>
      <c r="T712" t="str">
        <f>"14:45:41.889"</f>
        <v>14:45:41.889</v>
      </c>
      <c r="U712" t="str">
        <f t="shared" si="33"/>
        <v>A0F928</v>
      </c>
      <c r="V712">
        <v>0</v>
      </c>
      <c r="W712">
        <v>0</v>
      </c>
      <c r="X712">
        <v>2</v>
      </c>
      <c r="Z712">
        <v>0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1</v>
      </c>
      <c r="AI712" t="s">
        <v>466</v>
      </c>
      <c r="AJ712">
        <v>35.801053000000003</v>
      </c>
      <c r="AK712" t="s">
        <v>467</v>
      </c>
      <c r="AL712">
        <v>-83.939280999999994</v>
      </c>
      <c r="AM712">
        <v>25</v>
      </c>
      <c r="AN712">
        <v>1600</v>
      </c>
      <c r="AO712" t="s">
        <v>118</v>
      </c>
      <c r="AP712">
        <v>-86</v>
      </c>
      <c r="AQ712">
        <v>-46</v>
      </c>
      <c r="AR712">
        <v>-128</v>
      </c>
      <c r="AZ712">
        <v>300</v>
      </c>
      <c r="BA712">
        <v>1</v>
      </c>
      <c r="BB712" t="str">
        <f t="shared" si="32"/>
        <v xml:space="preserve">N162AM  </v>
      </c>
      <c r="BC712">
        <v>1</v>
      </c>
      <c r="BE712">
        <v>0</v>
      </c>
      <c r="BF712">
        <v>0</v>
      </c>
      <c r="BG712">
        <v>0</v>
      </c>
      <c r="BH712">
        <v>1875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>"14:45:42.294"</f>
        <v>14:45:42.294</v>
      </c>
      <c r="CJ712">
        <v>3</v>
      </c>
      <c r="CK712">
        <v>2</v>
      </c>
      <c r="CL712">
        <v>0</v>
      </c>
      <c r="CM712">
        <v>2</v>
      </c>
      <c r="CN712">
        <v>0</v>
      </c>
      <c r="CO712">
        <v>5</v>
      </c>
      <c r="CP712" t="s">
        <v>119</v>
      </c>
      <c r="CQ712">
        <v>232</v>
      </c>
      <c r="CR712">
        <v>1</v>
      </c>
      <c r="CW712">
        <v>15107382</v>
      </c>
      <c r="CY712">
        <v>1</v>
      </c>
      <c r="CZ712">
        <v>0</v>
      </c>
      <c r="DA712">
        <v>1</v>
      </c>
      <c r="DB712">
        <v>0</v>
      </c>
      <c r="DC712">
        <v>0</v>
      </c>
      <c r="DD712">
        <v>1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"12/16/2021 14:45:43.459"</f>
        <v>12/16/2021 14:45:43.459</v>
      </c>
      <c r="C713" t="str">
        <f t="shared" si="31"/>
        <v>FFDFD3C0</v>
      </c>
      <c r="D713" t="s">
        <v>124</v>
      </c>
      <c r="E713">
        <v>10</v>
      </c>
      <c r="F713">
        <v>1010</v>
      </c>
      <c r="G713" t="s">
        <v>130</v>
      </c>
      <c r="J713" t="s">
        <v>125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"14:45:43.258"</f>
        <v>14:45:43.258</v>
      </c>
      <c r="T713" t="str">
        <f>"14:45:42.758"</f>
        <v>14:45:42.758</v>
      </c>
      <c r="U713" t="str">
        <f t="shared" si="33"/>
        <v>A0F928</v>
      </c>
      <c r="V713">
        <v>0</v>
      </c>
      <c r="W713">
        <v>0</v>
      </c>
      <c r="X713">
        <v>2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1</v>
      </c>
      <c r="AI713" t="s">
        <v>468</v>
      </c>
      <c r="AJ713">
        <v>35.80086</v>
      </c>
      <c r="AK713" t="s">
        <v>469</v>
      </c>
      <c r="AL713">
        <v>-83.939817000000005</v>
      </c>
      <c r="AM713">
        <v>25</v>
      </c>
      <c r="AN713">
        <v>1600</v>
      </c>
      <c r="AO713" t="s">
        <v>118</v>
      </c>
      <c r="AP713">
        <v>-89</v>
      </c>
      <c r="AQ713">
        <v>-42</v>
      </c>
      <c r="AR713">
        <v>-128</v>
      </c>
      <c r="AZ713">
        <v>300</v>
      </c>
      <c r="BA713">
        <v>1</v>
      </c>
      <c r="BB713" t="str">
        <f t="shared" si="32"/>
        <v xml:space="preserve">N162AM  </v>
      </c>
      <c r="BC713">
        <v>1</v>
      </c>
      <c r="BE713">
        <v>0</v>
      </c>
      <c r="BF713">
        <v>0</v>
      </c>
      <c r="BG713">
        <v>0</v>
      </c>
      <c r="BH713">
        <v>1875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>"14:45:43.262"</f>
        <v>14:45:43.262</v>
      </c>
      <c r="CJ713">
        <v>3</v>
      </c>
      <c r="CK713">
        <v>2</v>
      </c>
      <c r="CL713">
        <v>0</v>
      </c>
      <c r="CM713">
        <v>2</v>
      </c>
      <c r="CN713">
        <v>0</v>
      </c>
      <c r="CO713">
        <v>5</v>
      </c>
      <c r="CP713" t="s">
        <v>119</v>
      </c>
      <c r="CQ713">
        <v>232</v>
      </c>
      <c r="CR713">
        <v>1</v>
      </c>
      <c r="CW713">
        <v>15108976</v>
      </c>
      <c r="CY713">
        <v>1</v>
      </c>
      <c r="CZ713">
        <v>0</v>
      </c>
      <c r="DA713">
        <v>0</v>
      </c>
      <c r="DB713">
        <v>0</v>
      </c>
      <c r="DC713">
        <v>0</v>
      </c>
      <c r="DD713">
        <v>1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"12/16/2021 14:45:43.459"</f>
        <v>12/16/2021 14:45:43.459</v>
      </c>
      <c r="C714" t="str">
        <f t="shared" si="31"/>
        <v>FFDFD3C0</v>
      </c>
      <c r="D714" t="s">
        <v>124</v>
      </c>
      <c r="E714">
        <v>5</v>
      </c>
      <c r="F714">
        <v>1005</v>
      </c>
      <c r="G714" t="s">
        <v>114</v>
      </c>
      <c r="J714" t="s">
        <v>125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"14:45:43.258"</f>
        <v>14:45:43.258</v>
      </c>
      <c r="T714" t="str">
        <f>"14:45:42.758"</f>
        <v>14:45:42.758</v>
      </c>
      <c r="U714" t="str">
        <f t="shared" si="33"/>
        <v>A0F928</v>
      </c>
      <c r="V714">
        <v>0</v>
      </c>
      <c r="W714">
        <v>0</v>
      </c>
      <c r="X714">
        <v>2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1</v>
      </c>
      <c r="AI714" t="s">
        <v>468</v>
      </c>
      <c r="AJ714">
        <v>35.80086</v>
      </c>
      <c r="AK714" t="s">
        <v>469</v>
      </c>
      <c r="AL714">
        <v>-83.939817000000005</v>
      </c>
      <c r="AM714">
        <v>25</v>
      </c>
      <c r="AN714">
        <v>1600</v>
      </c>
      <c r="AO714" t="s">
        <v>118</v>
      </c>
      <c r="AP714">
        <v>-89</v>
      </c>
      <c r="AQ714">
        <v>-42</v>
      </c>
      <c r="AR714">
        <v>-128</v>
      </c>
      <c r="AZ714">
        <v>300</v>
      </c>
      <c r="BA714">
        <v>1</v>
      </c>
      <c r="BB714" t="str">
        <f t="shared" si="32"/>
        <v xml:space="preserve">N162AM  </v>
      </c>
      <c r="BC714">
        <v>1</v>
      </c>
      <c r="BE714">
        <v>0</v>
      </c>
      <c r="BF714">
        <v>0</v>
      </c>
      <c r="BG714">
        <v>0</v>
      </c>
      <c r="BH714">
        <v>1875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>"14:45:43.262"</f>
        <v>14:45:43.262</v>
      </c>
      <c r="CJ714">
        <v>3</v>
      </c>
      <c r="CK714">
        <v>2</v>
      </c>
      <c r="CL714">
        <v>0</v>
      </c>
      <c r="CM714">
        <v>2</v>
      </c>
      <c r="CN714">
        <v>0</v>
      </c>
      <c r="CO714">
        <v>5</v>
      </c>
      <c r="CP714" t="s">
        <v>119</v>
      </c>
      <c r="CQ714">
        <v>232</v>
      </c>
      <c r="CR714">
        <v>1</v>
      </c>
      <c r="CW714">
        <v>15108976</v>
      </c>
      <c r="CY714">
        <v>1</v>
      </c>
      <c r="CZ714">
        <v>0</v>
      </c>
      <c r="DA714">
        <v>1</v>
      </c>
      <c r="DB714">
        <v>0</v>
      </c>
      <c r="DC714">
        <v>0</v>
      </c>
      <c r="DD714">
        <v>1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"12/16/2021 14:45:43.490"</f>
        <v>12/16/2021 14:45:43.490</v>
      </c>
      <c r="C715" t="str">
        <f t="shared" si="31"/>
        <v>FFDFD3C0</v>
      </c>
      <c r="D715" t="s">
        <v>113</v>
      </c>
      <c r="E715">
        <v>8</v>
      </c>
      <c r="H715">
        <v>176</v>
      </c>
      <c r="I715" t="s">
        <v>114</v>
      </c>
      <c r="J715" t="s">
        <v>115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"14:45:43.258"</f>
        <v>14:45:43.258</v>
      </c>
      <c r="T715" t="str">
        <f>"14:45:42.758"</f>
        <v>14:45:42.758</v>
      </c>
      <c r="U715" t="str">
        <f t="shared" si="33"/>
        <v>A0F928</v>
      </c>
      <c r="V715">
        <v>0</v>
      </c>
      <c r="W715">
        <v>0</v>
      </c>
      <c r="X715">
        <v>2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1</v>
      </c>
      <c r="AI715" t="s">
        <v>468</v>
      </c>
      <c r="AJ715">
        <v>35.80086</v>
      </c>
      <c r="AK715" t="s">
        <v>469</v>
      </c>
      <c r="AL715">
        <v>-83.939817000000005</v>
      </c>
      <c r="AM715">
        <v>25</v>
      </c>
      <c r="AN715">
        <v>1600</v>
      </c>
      <c r="AO715" t="s">
        <v>118</v>
      </c>
      <c r="AP715">
        <v>-89</v>
      </c>
      <c r="AQ715">
        <v>-42</v>
      </c>
      <c r="AR715">
        <v>-128</v>
      </c>
      <c r="AZ715">
        <v>300</v>
      </c>
      <c r="BA715">
        <v>1</v>
      </c>
      <c r="BB715" t="str">
        <f t="shared" si="32"/>
        <v xml:space="preserve">N162AM  </v>
      </c>
      <c r="BC715">
        <v>1</v>
      </c>
      <c r="BE715">
        <v>0</v>
      </c>
      <c r="BF715">
        <v>0</v>
      </c>
      <c r="BG715">
        <v>0</v>
      </c>
      <c r="BH715">
        <v>1875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>"14:45:43.262"</f>
        <v>14:45:43.262</v>
      </c>
      <c r="CJ715">
        <v>3</v>
      </c>
      <c r="CK715">
        <v>2</v>
      </c>
      <c r="CL715">
        <v>0</v>
      </c>
      <c r="CM715">
        <v>2</v>
      </c>
      <c r="CN715">
        <v>0</v>
      </c>
      <c r="CO715">
        <v>5</v>
      </c>
      <c r="CP715" t="s">
        <v>119</v>
      </c>
      <c r="CQ715">
        <v>232</v>
      </c>
      <c r="CR715">
        <v>1</v>
      </c>
      <c r="CW715">
        <v>15108976</v>
      </c>
      <c r="CY715">
        <v>1</v>
      </c>
      <c r="CZ715">
        <v>0</v>
      </c>
      <c r="DA715">
        <v>1</v>
      </c>
      <c r="DB715">
        <v>0</v>
      </c>
      <c r="DC715">
        <v>0</v>
      </c>
      <c r="DD715">
        <v>1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"12/16/2021 14:45:43.506"</f>
        <v>12/16/2021 14:45:43.506</v>
      </c>
      <c r="C716" t="str">
        <f t="shared" ref="C716:C779" si="34">"FFDFD3C0"</f>
        <v>FFDFD3C0</v>
      </c>
      <c r="D716" t="s">
        <v>133</v>
      </c>
      <c r="E716">
        <v>44</v>
      </c>
      <c r="H716">
        <v>131</v>
      </c>
      <c r="I716" t="s">
        <v>134</v>
      </c>
      <c r="J716" t="s">
        <v>135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"14:45:43.258"</f>
        <v>14:45:43.258</v>
      </c>
      <c r="T716" t="str">
        <f>"14:45:42.758"</f>
        <v>14:45:42.758</v>
      </c>
      <c r="U716" t="str">
        <f t="shared" si="33"/>
        <v>A0F928</v>
      </c>
      <c r="V716">
        <v>0</v>
      </c>
      <c r="W716">
        <v>0</v>
      </c>
      <c r="X716">
        <v>2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1</v>
      </c>
      <c r="AI716" t="s">
        <v>468</v>
      </c>
      <c r="AJ716">
        <v>35.80086</v>
      </c>
      <c r="AK716" t="s">
        <v>469</v>
      </c>
      <c r="AL716">
        <v>-83.939817000000005</v>
      </c>
      <c r="AM716">
        <v>25</v>
      </c>
      <c r="AN716">
        <v>1600</v>
      </c>
      <c r="AO716" t="s">
        <v>118</v>
      </c>
      <c r="AP716">
        <v>-89</v>
      </c>
      <c r="AQ716">
        <v>-42</v>
      </c>
      <c r="AR716">
        <v>-128</v>
      </c>
      <c r="AZ716">
        <v>300</v>
      </c>
      <c r="BA716">
        <v>1</v>
      </c>
      <c r="BB716" t="str">
        <f t="shared" ref="BB716:BB779" si="35">"N162AM  "</f>
        <v xml:space="preserve">N162AM  </v>
      </c>
      <c r="BC716">
        <v>1</v>
      </c>
      <c r="BE716">
        <v>0</v>
      </c>
      <c r="BF716">
        <v>0</v>
      </c>
      <c r="BG716">
        <v>0</v>
      </c>
      <c r="BH716">
        <v>1875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>"14:45:43.262"</f>
        <v>14:45:43.262</v>
      </c>
      <c r="CJ716">
        <v>3</v>
      </c>
      <c r="CK716">
        <v>2</v>
      </c>
      <c r="CL716">
        <v>0</v>
      </c>
      <c r="CM716">
        <v>2</v>
      </c>
      <c r="CN716">
        <v>0</v>
      </c>
      <c r="CO716">
        <v>5</v>
      </c>
      <c r="CP716" t="s">
        <v>119</v>
      </c>
      <c r="CQ716">
        <v>232</v>
      </c>
      <c r="CR716">
        <v>1</v>
      </c>
      <c r="CW716">
        <v>15108976</v>
      </c>
      <c r="CY716">
        <v>1</v>
      </c>
      <c r="CZ716">
        <v>0</v>
      </c>
      <c r="DA716">
        <v>1</v>
      </c>
      <c r="DB716">
        <v>0</v>
      </c>
      <c r="DC716">
        <v>0</v>
      </c>
      <c r="DD716">
        <v>1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"12/16/2021 14:45:44.608"</f>
        <v>12/16/2021 14:45:44.608</v>
      </c>
      <c r="C717" t="str">
        <f t="shared" si="34"/>
        <v>FFDFD3C0</v>
      </c>
      <c r="D717" t="s">
        <v>113</v>
      </c>
      <c r="E717">
        <v>8</v>
      </c>
      <c r="H717">
        <v>176</v>
      </c>
      <c r="I717" t="s">
        <v>114</v>
      </c>
      <c r="J717" t="s">
        <v>115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"14:45:44.383"</f>
        <v>14:45:44.383</v>
      </c>
      <c r="T717" t="str">
        <f>"14:45:43.883"</f>
        <v>14:45:43.883</v>
      </c>
      <c r="U717" t="str">
        <f t="shared" si="33"/>
        <v>A0F928</v>
      </c>
      <c r="V717">
        <v>0</v>
      </c>
      <c r="W717">
        <v>0</v>
      </c>
      <c r="X717">
        <v>2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1</v>
      </c>
      <c r="AI717" t="s">
        <v>470</v>
      </c>
      <c r="AJ717">
        <v>35.800688000000001</v>
      </c>
      <c r="AK717" t="s">
        <v>471</v>
      </c>
      <c r="AL717">
        <v>-83.940417999999994</v>
      </c>
      <c r="AM717">
        <v>25</v>
      </c>
      <c r="AN717">
        <v>1600</v>
      </c>
      <c r="AO717" t="s">
        <v>118</v>
      </c>
      <c r="AP717">
        <v>-92</v>
      </c>
      <c r="AQ717">
        <v>-37</v>
      </c>
      <c r="AR717">
        <v>-64</v>
      </c>
      <c r="AZ717">
        <v>300</v>
      </c>
      <c r="BA717">
        <v>1</v>
      </c>
      <c r="BB717" t="str">
        <f t="shared" si="35"/>
        <v xml:space="preserve">N162AM  </v>
      </c>
      <c r="BC717">
        <v>1</v>
      </c>
      <c r="BE717">
        <v>0</v>
      </c>
      <c r="BF717">
        <v>0</v>
      </c>
      <c r="BG717">
        <v>0</v>
      </c>
      <c r="BH717">
        <v>1875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>"14:45:44.390"</f>
        <v>14:45:44.390</v>
      </c>
      <c r="CJ717">
        <v>3</v>
      </c>
      <c r="CK717">
        <v>2</v>
      </c>
      <c r="CL717">
        <v>0</v>
      </c>
      <c r="CM717">
        <v>2</v>
      </c>
      <c r="CN717">
        <v>0</v>
      </c>
      <c r="CO717">
        <v>6</v>
      </c>
      <c r="CP717" t="s">
        <v>119</v>
      </c>
      <c r="CQ717">
        <v>232</v>
      </c>
      <c r="CR717">
        <v>1</v>
      </c>
      <c r="CW717">
        <v>15110671</v>
      </c>
      <c r="CY717">
        <v>1</v>
      </c>
      <c r="CZ717">
        <v>0</v>
      </c>
      <c r="DA717">
        <v>0</v>
      </c>
      <c r="DB717">
        <v>0</v>
      </c>
      <c r="DC717">
        <v>0</v>
      </c>
      <c r="DD717">
        <v>1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"12/16/2021 14:45:44.608"</f>
        <v>12/16/2021 14:45:44.608</v>
      </c>
      <c r="C718" t="str">
        <f t="shared" si="34"/>
        <v>FFDFD3C0</v>
      </c>
      <c r="D718" t="s">
        <v>124</v>
      </c>
      <c r="E718">
        <v>10</v>
      </c>
      <c r="F718">
        <v>1010</v>
      </c>
      <c r="G718" t="s">
        <v>130</v>
      </c>
      <c r="J718" t="s">
        <v>125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"14:45:44.383"</f>
        <v>14:45:44.383</v>
      </c>
      <c r="T718" t="str">
        <f>"14:45:43.883"</f>
        <v>14:45:43.883</v>
      </c>
      <c r="U718" t="str">
        <f t="shared" si="33"/>
        <v>A0F928</v>
      </c>
      <c r="V718">
        <v>0</v>
      </c>
      <c r="W718">
        <v>0</v>
      </c>
      <c r="X718">
        <v>2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0</v>
      </c>
      <c r="AG718">
        <v>2</v>
      </c>
      <c r="AH718">
        <v>1</v>
      </c>
      <c r="AI718" t="s">
        <v>470</v>
      </c>
      <c r="AJ718">
        <v>35.800688000000001</v>
      </c>
      <c r="AK718" t="s">
        <v>471</v>
      </c>
      <c r="AL718">
        <v>-83.940417999999994</v>
      </c>
      <c r="AM718">
        <v>25</v>
      </c>
      <c r="AN718">
        <v>1600</v>
      </c>
      <c r="AO718" t="s">
        <v>118</v>
      </c>
      <c r="AP718">
        <v>-92</v>
      </c>
      <c r="AQ718">
        <v>-37</v>
      </c>
      <c r="AR718">
        <v>-64</v>
      </c>
      <c r="AZ718">
        <v>300</v>
      </c>
      <c r="BA718">
        <v>1</v>
      </c>
      <c r="BB718" t="str">
        <f t="shared" si="35"/>
        <v xml:space="preserve">N162AM  </v>
      </c>
      <c r="BC718">
        <v>1</v>
      </c>
      <c r="BE718">
        <v>0</v>
      </c>
      <c r="BF718">
        <v>0</v>
      </c>
      <c r="BG718">
        <v>0</v>
      </c>
      <c r="BH718">
        <v>1875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>"14:45:44.390"</f>
        <v>14:45:44.390</v>
      </c>
      <c r="CJ718">
        <v>2</v>
      </c>
      <c r="CK718">
        <v>2</v>
      </c>
      <c r="CL718">
        <v>0</v>
      </c>
      <c r="CM718">
        <v>2</v>
      </c>
      <c r="CN718">
        <v>0</v>
      </c>
      <c r="CO718">
        <v>6</v>
      </c>
      <c r="CP718" t="s">
        <v>119</v>
      </c>
      <c r="CQ718">
        <v>232</v>
      </c>
      <c r="CR718">
        <v>1</v>
      </c>
      <c r="CW718">
        <v>15110671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1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"12/16/2021 14:45:44.646"</f>
        <v>12/16/2021 14:45:44.646</v>
      </c>
      <c r="C719" t="str">
        <f t="shared" si="34"/>
        <v>FFDFD3C0</v>
      </c>
      <c r="D719" t="s">
        <v>133</v>
      </c>
      <c r="E719">
        <v>44</v>
      </c>
      <c r="H719">
        <v>131</v>
      </c>
      <c r="I719" t="s">
        <v>134</v>
      </c>
      <c r="J719" t="s">
        <v>135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"14:45:44.383"</f>
        <v>14:45:44.383</v>
      </c>
      <c r="T719" t="str">
        <f>"14:45:43.883"</f>
        <v>14:45:43.883</v>
      </c>
      <c r="U719" t="str">
        <f t="shared" si="33"/>
        <v>A0F928</v>
      </c>
      <c r="V719">
        <v>0</v>
      </c>
      <c r="W719">
        <v>0</v>
      </c>
      <c r="X719">
        <v>2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1</v>
      </c>
      <c r="AI719" t="s">
        <v>470</v>
      </c>
      <c r="AJ719">
        <v>35.800688000000001</v>
      </c>
      <c r="AK719" t="s">
        <v>471</v>
      </c>
      <c r="AL719">
        <v>-83.940417999999994</v>
      </c>
      <c r="AM719">
        <v>25</v>
      </c>
      <c r="AN719">
        <v>1600</v>
      </c>
      <c r="AO719" t="s">
        <v>118</v>
      </c>
      <c r="AP719">
        <v>-92</v>
      </c>
      <c r="AQ719">
        <v>-37</v>
      </c>
      <c r="AR719">
        <v>-64</v>
      </c>
      <c r="AZ719">
        <v>300</v>
      </c>
      <c r="BA719">
        <v>1</v>
      </c>
      <c r="BB719" t="str">
        <f t="shared" si="35"/>
        <v xml:space="preserve">N162AM  </v>
      </c>
      <c r="BC719">
        <v>1</v>
      </c>
      <c r="BE719">
        <v>0</v>
      </c>
      <c r="BF719">
        <v>0</v>
      </c>
      <c r="BG719">
        <v>0</v>
      </c>
      <c r="BH719">
        <v>1875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>"14:45:44.390"</f>
        <v>14:45:44.390</v>
      </c>
      <c r="CJ719">
        <v>3</v>
      </c>
      <c r="CK719">
        <v>2</v>
      </c>
      <c r="CL719">
        <v>0</v>
      </c>
      <c r="CM719">
        <v>2</v>
      </c>
      <c r="CN719">
        <v>0</v>
      </c>
      <c r="CO719">
        <v>6</v>
      </c>
      <c r="CP719" t="s">
        <v>119</v>
      </c>
      <c r="CQ719">
        <v>232</v>
      </c>
      <c r="CR719">
        <v>1</v>
      </c>
      <c r="CW719">
        <v>15110671</v>
      </c>
      <c r="CY719">
        <v>1</v>
      </c>
      <c r="CZ719">
        <v>0</v>
      </c>
      <c r="DA719">
        <v>1</v>
      </c>
      <c r="DB719">
        <v>0</v>
      </c>
      <c r="DC719">
        <v>0</v>
      </c>
      <c r="DD719">
        <v>1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"12/16/2021 14:45:44.646"</f>
        <v>12/16/2021 14:45:44.646</v>
      </c>
      <c r="C720" t="str">
        <f t="shared" si="34"/>
        <v>FFDFD3C0</v>
      </c>
      <c r="D720" t="s">
        <v>124</v>
      </c>
      <c r="E720">
        <v>5</v>
      </c>
      <c r="F720">
        <v>1005</v>
      </c>
      <c r="G720" t="s">
        <v>114</v>
      </c>
      <c r="J720" t="s">
        <v>125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"14:45:44.383"</f>
        <v>14:45:44.383</v>
      </c>
      <c r="T720" t="str">
        <f>"14:45:43.883"</f>
        <v>14:45:43.883</v>
      </c>
      <c r="U720" t="str">
        <f t="shared" si="33"/>
        <v>A0F928</v>
      </c>
      <c r="V720">
        <v>0</v>
      </c>
      <c r="W720">
        <v>0</v>
      </c>
      <c r="X720">
        <v>2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1</v>
      </c>
      <c r="AI720" t="s">
        <v>470</v>
      </c>
      <c r="AJ720">
        <v>35.800688000000001</v>
      </c>
      <c r="AK720" t="s">
        <v>471</v>
      </c>
      <c r="AL720">
        <v>-83.940417999999994</v>
      </c>
      <c r="AM720">
        <v>25</v>
      </c>
      <c r="AN720">
        <v>1600</v>
      </c>
      <c r="AO720" t="s">
        <v>118</v>
      </c>
      <c r="AP720">
        <v>-92</v>
      </c>
      <c r="AQ720">
        <v>-37</v>
      </c>
      <c r="AR720">
        <v>-64</v>
      </c>
      <c r="AZ720">
        <v>300</v>
      </c>
      <c r="BA720">
        <v>1</v>
      </c>
      <c r="BB720" t="str">
        <f t="shared" si="35"/>
        <v xml:space="preserve">N162AM  </v>
      </c>
      <c r="BC720">
        <v>1</v>
      </c>
      <c r="BE720">
        <v>0</v>
      </c>
      <c r="BF720">
        <v>0</v>
      </c>
      <c r="BG720">
        <v>0</v>
      </c>
      <c r="BH720">
        <v>1875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>"14:45:44.390"</f>
        <v>14:45:44.390</v>
      </c>
      <c r="CJ720">
        <v>3</v>
      </c>
      <c r="CK720">
        <v>2</v>
      </c>
      <c r="CL720">
        <v>0</v>
      </c>
      <c r="CM720">
        <v>2</v>
      </c>
      <c r="CN720">
        <v>0</v>
      </c>
      <c r="CO720">
        <v>6</v>
      </c>
      <c r="CP720" t="s">
        <v>119</v>
      </c>
      <c r="CQ720">
        <v>232</v>
      </c>
      <c r="CR720">
        <v>1</v>
      </c>
      <c r="CW720">
        <v>15110671</v>
      </c>
      <c r="CY720">
        <v>1</v>
      </c>
      <c r="CZ720">
        <v>0</v>
      </c>
      <c r="DA720">
        <v>1</v>
      </c>
      <c r="DB720">
        <v>0</v>
      </c>
      <c r="DC720">
        <v>0</v>
      </c>
      <c r="DD720">
        <v>1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"12/16/2021 14:45:45.474"</f>
        <v>12/16/2021 14:45:45.474</v>
      </c>
      <c r="C721" t="str">
        <f t="shared" si="34"/>
        <v>FFDFD3C0</v>
      </c>
      <c r="D721" t="s">
        <v>133</v>
      </c>
      <c r="E721">
        <v>44</v>
      </c>
      <c r="H721">
        <v>131</v>
      </c>
      <c r="I721" t="s">
        <v>134</v>
      </c>
      <c r="J721" t="s">
        <v>135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"14:45:45.234"</f>
        <v>14:45:45.234</v>
      </c>
      <c r="T721" t="str">
        <f>"14:45:44.834"</f>
        <v>14:45:44.834</v>
      </c>
      <c r="U721" t="str">
        <f t="shared" si="33"/>
        <v>A0F928</v>
      </c>
      <c r="V721">
        <v>0</v>
      </c>
      <c r="W721">
        <v>0</v>
      </c>
      <c r="X721">
        <v>2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1</v>
      </c>
      <c r="AI721" t="s">
        <v>472</v>
      </c>
      <c r="AJ721">
        <v>35.800601999999998</v>
      </c>
      <c r="AK721" t="s">
        <v>473</v>
      </c>
      <c r="AL721">
        <v>-83.940867999999995</v>
      </c>
      <c r="AM721">
        <v>25</v>
      </c>
      <c r="AN721">
        <v>1600</v>
      </c>
      <c r="AO721" t="s">
        <v>118</v>
      </c>
      <c r="AP721">
        <v>-95</v>
      </c>
      <c r="AQ721">
        <v>-32</v>
      </c>
      <c r="AR721">
        <v>-64</v>
      </c>
      <c r="AZ721">
        <v>300</v>
      </c>
      <c r="BA721">
        <v>1</v>
      </c>
      <c r="BB721" t="str">
        <f t="shared" si="35"/>
        <v xml:space="preserve">N162AM  </v>
      </c>
      <c r="BC721">
        <v>1</v>
      </c>
      <c r="BE721">
        <v>0</v>
      </c>
      <c r="BF721">
        <v>0</v>
      </c>
      <c r="BG721">
        <v>0</v>
      </c>
      <c r="BH721">
        <v>1875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>"14:45:45.240"</f>
        <v>14:45:45.240</v>
      </c>
      <c r="CJ721">
        <v>3</v>
      </c>
      <c r="CK721">
        <v>2</v>
      </c>
      <c r="CL721">
        <v>0</v>
      </c>
      <c r="CM721">
        <v>2</v>
      </c>
      <c r="CN721">
        <v>0</v>
      </c>
      <c r="CO721">
        <v>6</v>
      </c>
      <c r="CP721" t="s">
        <v>119</v>
      </c>
      <c r="CQ721">
        <v>232</v>
      </c>
      <c r="CR721">
        <v>1</v>
      </c>
      <c r="CW721">
        <v>15111988</v>
      </c>
      <c r="CY721">
        <v>1</v>
      </c>
      <c r="CZ721">
        <v>0</v>
      </c>
      <c r="DA721">
        <v>0</v>
      </c>
      <c r="DB721">
        <v>0</v>
      </c>
      <c r="DC721">
        <v>0</v>
      </c>
      <c r="DD721">
        <v>1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"12/16/2021 14:45:45.474"</f>
        <v>12/16/2021 14:45:45.474</v>
      </c>
      <c r="C722" t="str">
        <f t="shared" si="34"/>
        <v>FFDFD3C0</v>
      </c>
      <c r="D722" t="s">
        <v>124</v>
      </c>
      <c r="E722">
        <v>10</v>
      </c>
      <c r="F722">
        <v>1010</v>
      </c>
      <c r="G722" t="s">
        <v>130</v>
      </c>
      <c r="J722" t="s">
        <v>125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"14:45:45.234"</f>
        <v>14:45:45.234</v>
      </c>
      <c r="T722" t="str">
        <f>"14:45:44.834"</f>
        <v>14:45:44.834</v>
      </c>
      <c r="U722" t="str">
        <f t="shared" si="33"/>
        <v>A0F928</v>
      </c>
      <c r="V722">
        <v>0</v>
      </c>
      <c r="W722">
        <v>0</v>
      </c>
      <c r="X722">
        <v>2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0</v>
      </c>
      <c r="AG722">
        <v>2</v>
      </c>
      <c r="AH722">
        <v>1</v>
      </c>
      <c r="AI722" t="s">
        <v>472</v>
      </c>
      <c r="AJ722">
        <v>35.800601999999998</v>
      </c>
      <c r="AK722" t="s">
        <v>473</v>
      </c>
      <c r="AL722">
        <v>-83.940867999999995</v>
      </c>
      <c r="AM722">
        <v>25</v>
      </c>
      <c r="AN722">
        <v>1600</v>
      </c>
      <c r="AO722" t="s">
        <v>118</v>
      </c>
      <c r="AP722">
        <v>-95</v>
      </c>
      <c r="AQ722">
        <v>-32</v>
      </c>
      <c r="AR722">
        <v>-64</v>
      </c>
      <c r="AZ722">
        <v>300</v>
      </c>
      <c r="BA722">
        <v>1</v>
      </c>
      <c r="BB722" t="str">
        <f t="shared" si="35"/>
        <v xml:space="preserve">N162AM  </v>
      </c>
      <c r="BC722">
        <v>1</v>
      </c>
      <c r="BE722">
        <v>0</v>
      </c>
      <c r="BF722">
        <v>0</v>
      </c>
      <c r="BG722">
        <v>0</v>
      </c>
      <c r="BH722">
        <v>1875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>"14:45:45.240"</f>
        <v>14:45:45.240</v>
      </c>
      <c r="CJ722">
        <v>2</v>
      </c>
      <c r="CK722">
        <v>2</v>
      </c>
      <c r="CL722">
        <v>0</v>
      </c>
      <c r="CM722">
        <v>2</v>
      </c>
      <c r="CN722">
        <v>0</v>
      </c>
      <c r="CO722">
        <v>6</v>
      </c>
      <c r="CP722" t="s">
        <v>119</v>
      </c>
      <c r="CQ722">
        <v>232</v>
      </c>
      <c r="CR722">
        <v>1</v>
      </c>
      <c r="CW722">
        <v>15111988</v>
      </c>
      <c r="CY722">
        <v>1</v>
      </c>
      <c r="CZ722">
        <v>0</v>
      </c>
      <c r="DA722">
        <v>1</v>
      </c>
      <c r="DB722">
        <v>0</v>
      </c>
      <c r="DC722">
        <v>0</v>
      </c>
      <c r="DD722">
        <v>1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"12/16/2021 14:45:45.474"</f>
        <v>12/16/2021 14:45:45.474</v>
      </c>
      <c r="C723" t="str">
        <f t="shared" si="34"/>
        <v>FFDFD3C0</v>
      </c>
      <c r="D723" t="s">
        <v>124</v>
      </c>
      <c r="E723">
        <v>5</v>
      </c>
      <c r="F723">
        <v>1005</v>
      </c>
      <c r="G723" t="s">
        <v>114</v>
      </c>
      <c r="J723" t="s">
        <v>125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"14:45:45.234"</f>
        <v>14:45:45.234</v>
      </c>
      <c r="T723" t="str">
        <f>"14:45:44.834"</f>
        <v>14:45:44.834</v>
      </c>
      <c r="U723" t="str">
        <f t="shared" si="33"/>
        <v>A0F928</v>
      </c>
      <c r="V723">
        <v>0</v>
      </c>
      <c r="W723">
        <v>0</v>
      </c>
      <c r="X723">
        <v>2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1</v>
      </c>
      <c r="AI723" t="s">
        <v>472</v>
      </c>
      <c r="AJ723">
        <v>35.800601999999998</v>
      </c>
      <c r="AK723" t="s">
        <v>473</v>
      </c>
      <c r="AL723">
        <v>-83.940867999999995</v>
      </c>
      <c r="AM723">
        <v>25</v>
      </c>
      <c r="AN723">
        <v>1600</v>
      </c>
      <c r="AO723" t="s">
        <v>118</v>
      </c>
      <c r="AP723">
        <v>-95</v>
      </c>
      <c r="AQ723">
        <v>-32</v>
      </c>
      <c r="AR723">
        <v>-64</v>
      </c>
      <c r="AZ723">
        <v>300</v>
      </c>
      <c r="BA723">
        <v>1</v>
      </c>
      <c r="BB723" t="str">
        <f t="shared" si="35"/>
        <v xml:space="preserve">N162AM  </v>
      </c>
      <c r="BC723">
        <v>1</v>
      </c>
      <c r="BE723">
        <v>0</v>
      </c>
      <c r="BF723">
        <v>0</v>
      </c>
      <c r="BG723">
        <v>0</v>
      </c>
      <c r="BH723">
        <v>1875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>"14:45:45.240"</f>
        <v>14:45:45.240</v>
      </c>
      <c r="CJ723">
        <v>3</v>
      </c>
      <c r="CK723">
        <v>2</v>
      </c>
      <c r="CL723">
        <v>0</v>
      </c>
      <c r="CM723">
        <v>2</v>
      </c>
      <c r="CN723">
        <v>0</v>
      </c>
      <c r="CO723">
        <v>6</v>
      </c>
      <c r="CP723" t="s">
        <v>119</v>
      </c>
      <c r="CQ723">
        <v>232</v>
      </c>
      <c r="CR723">
        <v>1</v>
      </c>
      <c r="CW723">
        <v>15111988</v>
      </c>
      <c r="CY723">
        <v>1</v>
      </c>
      <c r="CZ723">
        <v>0</v>
      </c>
      <c r="DA723">
        <v>1</v>
      </c>
      <c r="DB723">
        <v>0</v>
      </c>
      <c r="DC723">
        <v>0</v>
      </c>
      <c r="DD723">
        <v>1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"12/16/2021 14:45:45.521"</f>
        <v>12/16/2021 14:45:45.521</v>
      </c>
      <c r="C724" t="str">
        <f t="shared" si="34"/>
        <v>FFDFD3C0</v>
      </c>
      <c r="D724" t="s">
        <v>113</v>
      </c>
      <c r="E724">
        <v>8</v>
      </c>
      <c r="H724">
        <v>176</v>
      </c>
      <c r="I724" t="s">
        <v>114</v>
      </c>
      <c r="J724" t="s">
        <v>115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"14:45:45.234"</f>
        <v>14:45:45.234</v>
      </c>
      <c r="T724" t="str">
        <f>"14:45:44.834"</f>
        <v>14:45:44.834</v>
      </c>
      <c r="U724" t="str">
        <f t="shared" si="33"/>
        <v>A0F928</v>
      </c>
      <c r="V724">
        <v>0</v>
      </c>
      <c r="W724">
        <v>0</v>
      </c>
      <c r="X724">
        <v>2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1</v>
      </c>
      <c r="AI724" t="s">
        <v>472</v>
      </c>
      <c r="AJ724">
        <v>35.800601999999998</v>
      </c>
      <c r="AK724" t="s">
        <v>473</v>
      </c>
      <c r="AL724">
        <v>-83.940867999999995</v>
      </c>
      <c r="AM724">
        <v>25</v>
      </c>
      <c r="AN724">
        <v>1600</v>
      </c>
      <c r="AO724" t="s">
        <v>118</v>
      </c>
      <c r="AP724">
        <v>-95</v>
      </c>
      <c r="AQ724">
        <v>-32</v>
      </c>
      <c r="AR724">
        <v>-64</v>
      </c>
      <c r="AZ724">
        <v>300</v>
      </c>
      <c r="BA724">
        <v>1</v>
      </c>
      <c r="BB724" t="str">
        <f t="shared" si="35"/>
        <v xml:space="preserve">N162AM  </v>
      </c>
      <c r="BC724">
        <v>1</v>
      </c>
      <c r="BE724">
        <v>0</v>
      </c>
      <c r="BF724">
        <v>0</v>
      </c>
      <c r="BG724">
        <v>0</v>
      </c>
      <c r="BH724">
        <v>1875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>"14:45:45.240"</f>
        <v>14:45:45.240</v>
      </c>
      <c r="CJ724">
        <v>3</v>
      </c>
      <c r="CK724">
        <v>2</v>
      </c>
      <c r="CL724">
        <v>0</v>
      </c>
      <c r="CM724">
        <v>2</v>
      </c>
      <c r="CN724">
        <v>0</v>
      </c>
      <c r="CO724">
        <v>6</v>
      </c>
      <c r="CP724" t="s">
        <v>119</v>
      </c>
      <c r="CQ724">
        <v>232</v>
      </c>
      <c r="CR724">
        <v>1</v>
      </c>
      <c r="CW724">
        <v>15111988</v>
      </c>
      <c r="CY724">
        <v>1</v>
      </c>
      <c r="CZ724">
        <v>0</v>
      </c>
      <c r="DA724">
        <v>1</v>
      </c>
      <c r="DB724">
        <v>0</v>
      </c>
      <c r="DC724">
        <v>0</v>
      </c>
      <c r="DD724">
        <v>1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"12/16/2021 14:45:46.381"</f>
        <v>12/16/2021 14:45:46.381</v>
      </c>
      <c r="C725" t="str">
        <f t="shared" si="34"/>
        <v>FFDFD3C0</v>
      </c>
      <c r="D725" t="s">
        <v>133</v>
      </c>
      <c r="E725">
        <v>44</v>
      </c>
      <c r="H725">
        <v>131</v>
      </c>
      <c r="I725" t="s">
        <v>134</v>
      </c>
      <c r="J725" t="s">
        <v>135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"14:45:46.180"</f>
        <v>14:45:46.180</v>
      </c>
      <c r="T725" t="str">
        <f>"14:45:45.780"</f>
        <v>14:45:45.780</v>
      </c>
      <c r="U725" t="str">
        <f t="shared" si="33"/>
        <v>A0F928</v>
      </c>
      <c r="V725">
        <v>0</v>
      </c>
      <c r="W725">
        <v>0</v>
      </c>
      <c r="X725">
        <v>2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1</v>
      </c>
      <c r="AI725" t="s">
        <v>474</v>
      </c>
      <c r="AJ725">
        <v>35.800452</v>
      </c>
      <c r="AK725" t="s">
        <v>475</v>
      </c>
      <c r="AL725">
        <v>-83.941383000000002</v>
      </c>
      <c r="AM725">
        <v>25</v>
      </c>
      <c r="AN725">
        <v>1600</v>
      </c>
      <c r="AO725" t="s">
        <v>118</v>
      </c>
      <c r="AP725">
        <v>-98</v>
      </c>
      <c r="AQ725">
        <v>-26</v>
      </c>
      <c r="AR725">
        <v>-128</v>
      </c>
      <c r="AZ725">
        <v>300</v>
      </c>
      <c r="BA725">
        <v>1</v>
      </c>
      <c r="BB725" t="str">
        <f t="shared" si="35"/>
        <v xml:space="preserve">N162AM  </v>
      </c>
      <c r="BC725">
        <v>1</v>
      </c>
      <c r="BE725">
        <v>0</v>
      </c>
      <c r="BF725">
        <v>0</v>
      </c>
      <c r="BG725">
        <v>0</v>
      </c>
      <c r="BH725">
        <v>1850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>"14:45:46.187"</f>
        <v>14:45:46.187</v>
      </c>
      <c r="CJ725">
        <v>3</v>
      </c>
      <c r="CK725">
        <v>2</v>
      </c>
      <c r="CL725">
        <v>0</v>
      </c>
      <c r="CM725">
        <v>2</v>
      </c>
      <c r="CN725">
        <v>0</v>
      </c>
      <c r="CO725">
        <v>2</v>
      </c>
      <c r="CP725" t="s">
        <v>119</v>
      </c>
      <c r="CQ725">
        <v>232</v>
      </c>
      <c r="CR725">
        <v>1</v>
      </c>
      <c r="CW725">
        <v>15113478</v>
      </c>
      <c r="CY725">
        <v>1</v>
      </c>
      <c r="CZ725">
        <v>0</v>
      </c>
      <c r="DA725">
        <v>0</v>
      </c>
      <c r="DB725">
        <v>0</v>
      </c>
      <c r="DC725">
        <v>0</v>
      </c>
      <c r="DD725">
        <v>1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"12/16/2021 14:45:46.381"</f>
        <v>12/16/2021 14:45:46.381</v>
      </c>
      <c r="C726" t="str">
        <f t="shared" si="34"/>
        <v>FFDFD3C0</v>
      </c>
      <c r="D726" t="s">
        <v>124</v>
      </c>
      <c r="E726">
        <v>5</v>
      </c>
      <c r="F726">
        <v>1005</v>
      </c>
      <c r="G726" t="s">
        <v>114</v>
      </c>
      <c r="J726" t="s">
        <v>125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"14:45:46.180"</f>
        <v>14:45:46.180</v>
      </c>
      <c r="T726" t="str">
        <f>"14:45:45.780"</f>
        <v>14:45:45.780</v>
      </c>
      <c r="U726" t="str">
        <f t="shared" si="33"/>
        <v>A0F928</v>
      </c>
      <c r="V726">
        <v>0</v>
      </c>
      <c r="W726">
        <v>0</v>
      </c>
      <c r="X726">
        <v>2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1</v>
      </c>
      <c r="AI726" t="s">
        <v>474</v>
      </c>
      <c r="AJ726">
        <v>35.800452</v>
      </c>
      <c r="AK726" t="s">
        <v>475</v>
      </c>
      <c r="AL726">
        <v>-83.941383000000002</v>
      </c>
      <c r="AM726">
        <v>25</v>
      </c>
      <c r="AN726">
        <v>1600</v>
      </c>
      <c r="AO726" t="s">
        <v>118</v>
      </c>
      <c r="AP726">
        <v>-98</v>
      </c>
      <c r="AQ726">
        <v>-26</v>
      </c>
      <c r="AR726">
        <v>-128</v>
      </c>
      <c r="AZ726">
        <v>300</v>
      </c>
      <c r="BA726">
        <v>1</v>
      </c>
      <c r="BB726" t="str">
        <f t="shared" si="35"/>
        <v xml:space="preserve">N162AM  </v>
      </c>
      <c r="BC726">
        <v>1</v>
      </c>
      <c r="BE726">
        <v>0</v>
      </c>
      <c r="BF726">
        <v>0</v>
      </c>
      <c r="BG726">
        <v>0</v>
      </c>
      <c r="BH726">
        <v>1850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>"14:45:46.187"</f>
        <v>14:45:46.187</v>
      </c>
      <c r="CJ726">
        <v>3</v>
      </c>
      <c r="CK726">
        <v>2</v>
      </c>
      <c r="CL726">
        <v>0</v>
      </c>
      <c r="CM726">
        <v>2</v>
      </c>
      <c r="CN726">
        <v>0</v>
      </c>
      <c r="CO726">
        <v>2</v>
      </c>
      <c r="CP726" t="s">
        <v>119</v>
      </c>
      <c r="CQ726">
        <v>232</v>
      </c>
      <c r="CR726">
        <v>1</v>
      </c>
      <c r="CW726">
        <v>15113478</v>
      </c>
      <c r="CY726">
        <v>1</v>
      </c>
      <c r="CZ726">
        <v>0</v>
      </c>
      <c r="DA726">
        <v>1</v>
      </c>
      <c r="DB726">
        <v>0</v>
      </c>
      <c r="DC726">
        <v>0</v>
      </c>
      <c r="DD726">
        <v>1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"12/16/2021 14:45:46.459"</f>
        <v>12/16/2021 14:45:46.459</v>
      </c>
      <c r="C727" t="str">
        <f t="shared" si="34"/>
        <v>FFDFD3C0</v>
      </c>
      <c r="D727" t="s">
        <v>124</v>
      </c>
      <c r="E727">
        <v>10</v>
      </c>
      <c r="F727">
        <v>1010</v>
      </c>
      <c r="G727" t="s">
        <v>130</v>
      </c>
      <c r="J727" t="s">
        <v>125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"14:45:46.180"</f>
        <v>14:45:46.180</v>
      </c>
      <c r="T727" t="str">
        <f>"14:45:45.780"</f>
        <v>14:45:45.780</v>
      </c>
      <c r="U727" t="str">
        <f t="shared" si="33"/>
        <v>A0F928</v>
      </c>
      <c r="V727">
        <v>0</v>
      </c>
      <c r="W727">
        <v>0</v>
      </c>
      <c r="X727">
        <v>2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0</v>
      </c>
      <c r="AG727">
        <v>2</v>
      </c>
      <c r="AH727">
        <v>1</v>
      </c>
      <c r="AI727" t="s">
        <v>474</v>
      </c>
      <c r="AJ727">
        <v>35.800452</v>
      </c>
      <c r="AK727" t="s">
        <v>475</v>
      </c>
      <c r="AL727">
        <v>-83.941383000000002</v>
      </c>
      <c r="AM727">
        <v>25</v>
      </c>
      <c r="AN727">
        <v>1600</v>
      </c>
      <c r="AO727" t="s">
        <v>118</v>
      </c>
      <c r="AP727">
        <v>-98</v>
      </c>
      <c r="AQ727">
        <v>-26</v>
      </c>
      <c r="AR727">
        <v>-128</v>
      </c>
      <c r="AZ727">
        <v>300</v>
      </c>
      <c r="BA727">
        <v>1</v>
      </c>
      <c r="BB727" t="str">
        <f t="shared" si="35"/>
        <v xml:space="preserve">N162AM  </v>
      </c>
      <c r="BC727">
        <v>1</v>
      </c>
      <c r="BE727">
        <v>0</v>
      </c>
      <c r="BF727">
        <v>0</v>
      </c>
      <c r="BG727">
        <v>0</v>
      </c>
      <c r="BH727">
        <v>1850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>"14:45:46.187"</f>
        <v>14:45:46.187</v>
      </c>
      <c r="CJ727">
        <v>2</v>
      </c>
      <c r="CK727">
        <v>2</v>
      </c>
      <c r="CL727">
        <v>0</v>
      </c>
      <c r="CM727">
        <v>2</v>
      </c>
      <c r="CN727">
        <v>0</v>
      </c>
      <c r="CO727">
        <v>2</v>
      </c>
      <c r="CP727" t="s">
        <v>119</v>
      </c>
      <c r="CQ727">
        <v>232</v>
      </c>
      <c r="CR727">
        <v>1</v>
      </c>
      <c r="CW727">
        <v>15113478</v>
      </c>
      <c r="CY727">
        <v>1</v>
      </c>
      <c r="CZ727">
        <v>0</v>
      </c>
      <c r="DA727">
        <v>1</v>
      </c>
      <c r="DB727">
        <v>0</v>
      </c>
      <c r="DC727">
        <v>0</v>
      </c>
      <c r="DD727">
        <v>1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"12/16/2021 14:45:46.459"</f>
        <v>12/16/2021 14:45:46.459</v>
      </c>
      <c r="C728" t="str">
        <f t="shared" si="34"/>
        <v>FFDFD3C0</v>
      </c>
      <c r="D728" t="s">
        <v>113</v>
      </c>
      <c r="E728">
        <v>8</v>
      </c>
      <c r="H728">
        <v>176</v>
      </c>
      <c r="I728" t="s">
        <v>114</v>
      </c>
      <c r="J728" t="s">
        <v>115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"14:45:46.180"</f>
        <v>14:45:46.180</v>
      </c>
      <c r="T728" t="str">
        <f>"14:45:45.780"</f>
        <v>14:45:45.780</v>
      </c>
      <c r="U728" t="str">
        <f t="shared" si="33"/>
        <v>A0F928</v>
      </c>
      <c r="V728">
        <v>0</v>
      </c>
      <c r="W728">
        <v>0</v>
      </c>
      <c r="X728">
        <v>2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1</v>
      </c>
      <c r="AI728" t="s">
        <v>474</v>
      </c>
      <c r="AJ728">
        <v>35.800452</v>
      </c>
      <c r="AK728" t="s">
        <v>475</v>
      </c>
      <c r="AL728">
        <v>-83.941383000000002</v>
      </c>
      <c r="AM728">
        <v>25</v>
      </c>
      <c r="AN728">
        <v>1600</v>
      </c>
      <c r="AO728" t="s">
        <v>118</v>
      </c>
      <c r="AP728">
        <v>-98</v>
      </c>
      <c r="AQ728">
        <v>-26</v>
      </c>
      <c r="AR728">
        <v>-128</v>
      </c>
      <c r="AZ728">
        <v>300</v>
      </c>
      <c r="BA728">
        <v>1</v>
      </c>
      <c r="BB728" t="str">
        <f t="shared" si="35"/>
        <v xml:space="preserve">N162AM  </v>
      </c>
      <c r="BC728">
        <v>1</v>
      </c>
      <c r="BE728">
        <v>0</v>
      </c>
      <c r="BF728">
        <v>0</v>
      </c>
      <c r="BG728">
        <v>0</v>
      </c>
      <c r="BH728">
        <v>1850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>"14:45:46.187"</f>
        <v>14:45:46.187</v>
      </c>
      <c r="CJ728">
        <v>3</v>
      </c>
      <c r="CK728">
        <v>2</v>
      </c>
      <c r="CL728">
        <v>0</v>
      </c>
      <c r="CM728">
        <v>2</v>
      </c>
      <c r="CN728">
        <v>0</v>
      </c>
      <c r="CO728">
        <v>2</v>
      </c>
      <c r="CP728" t="s">
        <v>119</v>
      </c>
      <c r="CQ728">
        <v>232</v>
      </c>
      <c r="CR728">
        <v>1</v>
      </c>
      <c r="CW728">
        <v>15113478</v>
      </c>
      <c r="CY728">
        <v>1</v>
      </c>
      <c r="CZ728">
        <v>0</v>
      </c>
      <c r="DA728">
        <v>1</v>
      </c>
      <c r="DB728">
        <v>0</v>
      </c>
      <c r="DC728">
        <v>0</v>
      </c>
      <c r="DD728">
        <v>1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"12/16/2021 14:45:48.068"</f>
        <v>12/16/2021 14:45:48.068</v>
      </c>
      <c r="C729" t="str">
        <f t="shared" si="34"/>
        <v>FFDFD3C0</v>
      </c>
      <c r="D729" t="s">
        <v>113</v>
      </c>
      <c r="E729">
        <v>8</v>
      </c>
      <c r="H729">
        <v>176</v>
      </c>
      <c r="I729" t="s">
        <v>114</v>
      </c>
      <c r="J729" t="s">
        <v>115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"14:45:47.852"</f>
        <v>14:45:47.852</v>
      </c>
      <c r="T729" t="str">
        <f>"14:45:46.252"</f>
        <v>14:45:46.252</v>
      </c>
      <c r="U729" t="str">
        <f t="shared" si="33"/>
        <v>A0F928</v>
      </c>
      <c r="V729">
        <v>0</v>
      </c>
      <c r="W729">
        <v>0</v>
      </c>
      <c r="X729">
        <v>2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1</v>
      </c>
      <c r="AI729" t="s">
        <v>476</v>
      </c>
      <c r="AJ729">
        <v>35.800345</v>
      </c>
      <c r="AK729" t="s">
        <v>477</v>
      </c>
      <c r="AL729">
        <v>-83.942391999999998</v>
      </c>
      <c r="AM729">
        <v>25</v>
      </c>
      <c r="AN729">
        <v>1600</v>
      </c>
      <c r="AO729" t="s">
        <v>118</v>
      </c>
      <c r="AP729">
        <v>-99</v>
      </c>
      <c r="AQ729">
        <v>-24</v>
      </c>
      <c r="AR729">
        <v>-64</v>
      </c>
      <c r="AZ729">
        <v>300</v>
      </c>
      <c r="BA729">
        <v>1</v>
      </c>
      <c r="BB729" t="str">
        <f t="shared" si="35"/>
        <v xml:space="preserve">N162AM  </v>
      </c>
      <c r="BC729">
        <v>1</v>
      </c>
      <c r="BE729">
        <v>0</v>
      </c>
      <c r="BF729">
        <v>0</v>
      </c>
      <c r="BG729">
        <v>0</v>
      </c>
      <c r="BH729">
        <v>1850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>"14:45:47.856"</f>
        <v>14:45:47.856</v>
      </c>
      <c r="CJ729">
        <v>3</v>
      </c>
      <c r="CK729">
        <v>2</v>
      </c>
      <c r="CL729">
        <v>0</v>
      </c>
      <c r="CM729">
        <v>2</v>
      </c>
      <c r="CN729">
        <v>0</v>
      </c>
      <c r="CO729">
        <v>5</v>
      </c>
      <c r="CP729" t="s">
        <v>119</v>
      </c>
      <c r="CQ729">
        <v>232</v>
      </c>
      <c r="CR729">
        <v>1</v>
      </c>
      <c r="CW729">
        <v>15116098</v>
      </c>
      <c r="CY729">
        <v>1</v>
      </c>
      <c r="CZ729">
        <v>0</v>
      </c>
      <c r="DA729">
        <v>0</v>
      </c>
      <c r="DB729">
        <v>0</v>
      </c>
      <c r="DC729">
        <v>0</v>
      </c>
      <c r="DD729">
        <v>1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"12/16/2021 14:45:48.084"</f>
        <v>12/16/2021 14:45:48.084</v>
      </c>
      <c r="C730" t="str">
        <f t="shared" si="34"/>
        <v>FFDFD3C0</v>
      </c>
      <c r="D730" t="s">
        <v>124</v>
      </c>
      <c r="E730">
        <v>10</v>
      </c>
      <c r="F730">
        <v>1010</v>
      </c>
      <c r="G730" t="s">
        <v>130</v>
      </c>
      <c r="J730" t="s">
        <v>125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"14:45:47.852"</f>
        <v>14:45:47.852</v>
      </c>
      <c r="T730" t="str">
        <f>"14:45:46.252"</f>
        <v>14:45:46.252</v>
      </c>
      <c r="U730" t="str">
        <f t="shared" si="33"/>
        <v>A0F928</v>
      </c>
      <c r="V730">
        <v>0</v>
      </c>
      <c r="W730">
        <v>0</v>
      </c>
      <c r="X730">
        <v>2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0</v>
      </c>
      <c r="AG730">
        <v>2</v>
      </c>
      <c r="AH730">
        <v>1</v>
      </c>
      <c r="AI730" t="s">
        <v>476</v>
      </c>
      <c r="AJ730">
        <v>35.800345</v>
      </c>
      <c r="AK730" t="s">
        <v>477</v>
      </c>
      <c r="AL730">
        <v>-83.942391999999998</v>
      </c>
      <c r="AM730">
        <v>25</v>
      </c>
      <c r="AN730">
        <v>1600</v>
      </c>
      <c r="AO730" t="s">
        <v>118</v>
      </c>
      <c r="AP730">
        <v>-99</v>
      </c>
      <c r="AQ730">
        <v>-24</v>
      </c>
      <c r="AR730">
        <v>-64</v>
      </c>
      <c r="AZ730">
        <v>300</v>
      </c>
      <c r="BA730">
        <v>1</v>
      </c>
      <c r="BB730" t="str">
        <f t="shared" si="35"/>
        <v xml:space="preserve">N162AM  </v>
      </c>
      <c r="BC730">
        <v>1</v>
      </c>
      <c r="BE730">
        <v>0</v>
      </c>
      <c r="BF730">
        <v>0</v>
      </c>
      <c r="BG730">
        <v>0</v>
      </c>
      <c r="BH730">
        <v>1850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>"14:45:47.856"</f>
        <v>14:45:47.856</v>
      </c>
      <c r="CJ730">
        <v>2</v>
      </c>
      <c r="CK730">
        <v>2</v>
      </c>
      <c r="CL730">
        <v>0</v>
      </c>
      <c r="CM730">
        <v>2</v>
      </c>
      <c r="CN730">
        <v>0</v>
      </c>
      <c r="CO730">
        <v>5</v>
      </c>
      <c r="CP730" t="s">
        <v>119</v>
      </c>
      <c r="CQ730">
        <v>232</v>
      </c>
      <c r="CR730">
        <v>1</v>
      </c>
      <c r="CW730">
        <v>15116098</v>
      </c>
      <c r="CY730">
        <v>1</v>
      </c>
      <c r="CZ730">
        <v>0</v>
      </c>
      <c r="DA730">
        <v>1</v>
      </c>
      <c r="DB730">
        <v>0</v>
      </c>
      <c r="DC730">
        <v>0</v>
      </c>
      <c r="DD730">
        <v>1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"12/16/2021 14:45:48.100"</f>
        <v>12/16/2021 14:45:48.100</v>
      </c>
      <c r="C731" t="str">
        <f t="shared" si="34"/>
        <v>FFDFD3C0</v>
      </c>
      <c r="D731" t="s">
        <v>124</v>
      </c>
      <c r="E731">
        <v>5</v>
      </c>
      <c r="F731">
        <v>1005</v>
      </c>
      <c r="G731" t="s">
        <v>114</v>
      </c>
      <c r="J731" t="s">
        <v>125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"14:45:47.852"</f>
        <v>14:45:47.852</v>
      </c>
      <c r="T731" t="str">
        <f>"14:45:46.252"</f>
        <v>14:45:46.252</v>
      </c>
      <c r="U731" t="str">
        <f t="shared" si="33"/>
        <v>A0F928</v>
      </c>
      <c r="V731">
        <v>0</v>
      </c>
      <c r="W731">
        <v>0</v>
      </c>
      <c r="X731">
        <v>2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1</v>
      </c>
      <c r="AI731" t="s">
        <v>476</v>
      </c>
      <c r="AJ731">
        <v>35.800345</v>
      </c>
      <c r="AK731" t="s">
        <v>477</v>
      </c>
      <c r="AL731">
        <v>-83.942391999999998</v>
      </c>
      <c r="AM731">
        <v>25</v>
      </c>
      <c r="AN731">
        <v>1600</v>
      </c>
      <c r="AO731" t="s">
        <v>118</v>
      </c>
      <c r="AP731">
        <v>-99</v>
      </c>
      <c r="AQ731">
        <v>-24</v>
      </c>
      <c r="AR731">
        <v>-64</v>
      </c>
      <c r="AZ731">
        <v>300</v>
      </c>
      <c r="BA731">
        <v>1</v>
      </c>
      <c r="BB731" t="str">
        <f t="shared" si="35"/>
        <v xml:space="preserve">N162AM  </v>
      </c>
      <c r="BC731">
        <v>1</v>
      </c>
      <c r="BE731">
        <v>0</v>
      </c>
      <c r="BF731">
        <v>0</v>
      </c>
      <c r="BG731">
        <v>0</v>
      </c>
      <c r="BH731">
        <v>1850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>"14:45:47.856"</f>
        <v>14:45:47.856</v>
      </c>
      <c r="CJ731">
        <v>3</v>
      </c>
      <c r="CK731">
        <v>2</v>
      </c>
      <c r="CL731">
        <v>0</v>
      </c>
      <c r="CM731">
        <v>2</v>
      </c>
      <c r="CN731">
        <v>0</v>
      </c>
      <c r="CO731">
        <v>5</v>
      </c>
      <c r="CP731" t="s">
        <v>119</v>
      </c>
      <c r="CQ731">
        <v>232</v>
      </c>
      <c r="CR731">
        <v>1</v>
      </c>
      <c r="CW731">
        <v>15116098</v>
      </c>
      <c r="CY731">
        <v>1</v>
      </c>
      <c r="CZ731">
        <v>0</v>
      </c>
      <c r="DA731">
        <v>1</v>
      </c>
      <c r="DB731">
        <v>0</v>
      </c>
      <c r="DC731">
        <v>0</v>
      </c>
      <c r="DD731">
        <v>1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"12/16/2021 14:45:48.100"</f>
        <v>12/16/2021 14:45:48.100</v>
      </c>
      <c r="C732" t="str">
        <f t="shared" si="34"/>
        <v>FFDFD3C0</v>
      </c>
      <c r="D732" t="s">
        <v>133</v>
      </c>
      <c r="E732">
        <v>44</v>
      </c>
      <c r="H732">
        <v>131</v>
      </c>
      <c r="I732" t="s">
        <v>134</v>
      </c>
      <c r="J732" t="s">
        <v>135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"14:45:47.852"</f>
        <v>14:45:47.852</v>
      </c>
      <c r="T732" t="str">
        <f>"14:45:46.252"</f>
        <v>14:45:46.252</v>
      </c>
      <c r="U732" t="str">
        <f t="shared" si="33"/>
        <v>A0F928</v>
      </c>
      <c r="V732">
        <v>0</v>
      </c>
      <c r="W732">
        <v>0</v>
      </c>
      <c r="X732">
        <v>2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1</v>
      </c>
      <c r="AI732" t="s">
        <v>476</v>
      </c>
      <c r="AJ732">
        <v>35.800345</v>
      </c>
      <c r="AK732" t="s">
        <v>477</v>
      </c>
      <c r="AL732">
        <v>-83.942391999999998</v>
      </c>
      <c r="AM732">
        <v>25</v>
      </c>
      <c r="AN732">
        <v>1600</v>
      </c>
      <c r="AO732" t="s">
        <v>118</v>
      </c>
      <c r="AP732">
        <v>-99</v>
      </c>
      <c r="AQ732">
        <v>-24</v>
      </c>
      <c r="AR732">
        <v>-64</v>
      </c>
      <c r="AZ732">
        <v>300</v>
      </c>
      <c r="BA732">
        <v>1</v>
      </c>
      <c r="BB732" t="str">
        <f t="shared" si="35"/>
        <v xml:space="preserve">N162AM  </v>
      </c>
      <c r="BC732">
        <v>1</v>
      </c>
      <c r="BE732">
        <v>0</v>
      </c>
      <c r="BF732">
        <v>0</v>
      </c>
      <c r="BG732">
        <v>0</v>
      </c>
      <c r="BH732">
        <v>1850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>"14:45:47.856"</f>
        <v>14:45:47.856</v>
      </c>
      <c r="CJ732">
        <v>3</v>
      </c>
      <c r="CK732">
        <v>2</v>
      </c>
      <c r="CL732">
        <v>0</v>
      </c>
      <c r="CM732">
        <v>2</v>
      </c>
      <c r="CN732">
        <v>0</v>
      </c>
      <c r="CO732">
        <v>5</v>
      </c>
      <c r="CP732" t="s">
        <v>119</v>
      </c>
      <c r="CQ732">
        <v>232</v>
      </c>
      <c r="CR732">
        <v>1</v>
      </c>
      <c r="CW732">
        <v>15116098</v>
      </c>
      <c r="CY732">
        <v>1</v>
      </c>
      <c r="CZ732">
        <v>0</v>
      </c>
      <c r="DA732">
        <v>1</v>
      </c>
      <c r="DB732">
        <v>0</v>
      </c>
      <c r="DC732">
        <v>0</v>
      </c>
      <c r="DD732">
        <v>1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"12/16/2021 14:45:49.410"</f>
        <v>12/16/2021 14:45:49.410</v>
      </c>
      <c r="C733" t="str">
        <f t="shared" si="34"/>
        <v>FFDFD3C0</v>
      </c>
      <c r="D733" t="s">
        <v>113</v>
      </c>
      <c r="E733">
        <v>8</v>
      </c>
      <c r="H733">
        <v>176</v>
      </c>
      <c r="I733" t="s">
        <v>114</v>
      </c>
      <c r="J733" t="s">
        <v>115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"14:45:48.969"</f>
        <v>14:45:48.969</v>
      </c>
      <c r="T733" t="str">
        <f>"14:45:47.869"</f>
        <v>14:45:47.869</v>
      </c>
      <c r="U733" t="str">
        <f t="shared" si="33"/>
        <v>A0F928</v>
      </c>
      <c r="V733">
        <v>0</v>
      </c>
      <c r="W733">
        <v>0</v>
      </c>
      <c r="X733">
        <v>2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1</v>
      </c>
      <c r="AI733" t="s">
        <v>478</v>
      </c>
      <c r="AJ733">
        <v>35.800280999999998</v>
      </c>
      <c r="AK733" t="s">
        <v>479</v>
      </c>
      <c r="AL733">
        <v>-83.943036000000006</v>
      </c>
      <c r="AM733">
        <v>25</v>
      </c>
      <c r="AN733">
        <v>1600</v>
      </c>
      <c r="AO733" t="s">
        <v>118</v>
      </c>
      <c r="AP733">
        <v>-103</v>
      </c>
      <c r="AQ733">
        <v>-13</v>
      </c>
      <c r="AR733">
        <v>-64</v>
      </c>
      <c r="AZ733">
        <v>300</v>
      </c>
      <c r="BA733">
        <v>1</v>
      </c>
      <c r="BB733" t="str">
        <f t="shared" si="35"/>
        <v xml:space="preserve">N162AM  </v>
      </c>
      <c r="BC733">
        <v>1</v>
      </c>
      <c r="BE733">
        <v>0</v>
      </c>
      <c r="BF733">
        <v>0</v>
      </c>
      <c r="BG733">
        <v>0</v>
      </c>
      <c r="BH733">
        <v>1850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>"14:45:48.974"</f>
        <v>14:45:48.974</v>
      </c>
      <c r="CJ733">
        <v>3</v>
      </c>
      <c r="CK733">
        <v>2</v>
      </c>
      <c r="CL733">
        <v>0</v>
      </c>
      <c r="CM733">
        <v>2</v>
      </c>
      <c r="CN733">
        <v>0</v>
      </c>
      <c r="CO733">
        <v>6</v>
      </c>
      <c r="CP733" t="s">
        <v>119</v>
      </c>
      <c r="CQ733">
        <v>232</v>
      </c>
      <c r="CR733">
        <v>1</v>
      </c>
      <c r="CW733">
        <v>15117847</v>
      </c>
      <c r="CY733">
        <v>1</v>
      </c>
      <c r="CZ733">
        <v>0</v>
      </c>
      <c r="DA733">
        <v>0</v>
      </c>
      <c r="DB733">
        <v>0</v>
      </c>
      <c r="DC733">
        <v>0</v>
      </c>
      <c r="DD733">
        <v>1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"12/16/2021 14:45:49.410"</f>
        <v>12/16/2021 14:45:49.410</v>
      </c>
      <c r="C734" t="str">
        <f t="shared" si="34"/>
        <v>FFDFD3C0</v>
      </c>
      <c r="D734" t="s">
        <v>124</v>
      </c>
      <c r="E734">
        <v>10</v>
      </c>
      <c r="F734">
        <v>1010</v>
      </c>
      <c r="G734" t="s">
        <v>130</v>
      </c>
      <c r="J734" t="s">
        <v>125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"14:45:48.969"</f>
        <v>14:45:48.969</v>
      </c>
      <c r="T734" t="str">
        <f>"14:45:47.869"</f>
        <v>14:45:47.869</v>
      </c>
      <c r="U734" t="str">
        <f t="shared" si="33"/>
        <v>A0F928</v>
      </c>
      <c r="V734">
        <v>0</v>
      </c>
      <c r="W734">
        <v>0</v>
      </c>
      <c r="X734">
        <v>2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0</v>
      </c>
      <c r="AG734">
        <v>2</v>
      </c>
      <c r="AH734">
        <v>1</v>
      </c>
      <c r="AI734" t="s">
        <v>478</v>
      </c>
      <c r="AJ734">
        <v>35.800280999999998</v>
      </c>
      <c r="AK734" t="s">
        <v>479</v>
      </c>
      <c r="AL734">
        <v>-83.943036000000006</v>
      </c>
      <c r="AM734">
        <v>25</v>
      </c>
      <c r="AN734">
        <v>1600</v>
      </c>
      <c r="AO734" t="s">
        <v>118</v>
      </c>
      <c r="AP734">
        <v>-103</v>
      </c>
      <c r="AQ734">
        <v>-13</v>
      </c>
      <c r="AR734">
        <v>-64</v>
      </c>
      <c r="AZ734">
        <v>300</v>
      </c>
      <c r="BA734">
        <v>1</v>
      </c>
      <c r="BB734" t="str">
        <f t="shared" si="35"/>
        <v xml:space="preserve">N162AM  </v>
      </c>
      <c r="BC734">
        <v>1</v>
      </c>
      <c r="BE734">
        <v>0</v>
      </c>
      <c r="BF734">
        <v>0</v>
      </c>
      <c r="BG734">
        <v>0</v>
      </c>
      <c r="BH734">
        <v>1850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>"14:45:48.974"</f>
        <v>14:45:48.974</v>
      </c>
      <c r="CJ734">
        <v>2</v>
      </c>
      <c r="CK734">
        <v>2</v>
      </c>
      <c r="CL734">
        <v>0</v>
      </c>
      <c r="CM734">
        <v>2</v>
      </c>
      <c r="CN734">
        <v>0</v>
      </c>
      <c r="CO734">
        <v>6</v>
      </c>
      <c r="CP734" t="s">
        <v>119</v>
      </c>
      <c r="CQ734">
        <v>232</v>
      </c>
      <c r="CR734">
        <v>1</v>
      </c>
      <c r="CW734">
        <v>15117847</v>
      </c>
      <c r="CY734">
        <v>1</v>
      </c>
      <c r="CZ734">
        <v>0</v>
      </c>
      <c r="DA734">
        <v>1</v>
      </c>
      <c r="DB734">
        <v>0</v>
      </c>
      <c r="DC734">
        <v>0</v>
      </c>
      <c r="DD734">
        <v>1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"12/16/2021 14:45:49.410"</f>
        <v>12/16/2021 14:45:49.410</v>
      </c>
      <c r="C735" t="str">
        <f t="shared" si="34"/>
        <v>FFDFD3C0</v>
      </c>
      <c r="D735" t="s">
        <v>124</v>
      </c>
      <c r="E735">
        <v>5</v>
      </c>
      <c r="F735">
        <v>1005</v>
      </c>
      <c r="G735" t="s">
        <v>114</v>
      </c>
      <c r="J735" t="s">
        <v>125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"14:45:48.969"</f>
        <v>14:45:48.969</v>
      </c>
      <c r="T735" t="str">
        <f>"14:45:47.869"</f>
        <v>14:45:47.869</v>
      </c>
      <c r="U735" t="str">
        <f t="shared" si="33"/>
        <v>A0F928</v>
      </c>
      <c r="V735">
        <v>0</v>
      </c>
      <c r="W735">
        <v>0</v>
      </c>
      <c r="X735">
        <v>2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1</v>
      </c>
      <c r="AI735" t="s">
        <v>478</v>
      </c>
      <c r="AJ735">
        <v>35.800280999999998</v>
      </c>
      <c r="AK735" t="s">
        <v>479</v>
      </c>
      <c r="AL735">
        <v>-83.943036000000006</v>
      </c>
      <c r="AM735">
        <v>25</v>
      </c>
      <c r="AN735">
        <v>1600</v>
      </c>
      <c r="AO735" t="s">
        <v>118</v>
      </c>
      <c r="AP735">
        <v>-103</v>
      </c>
      <c r="AQ735">
        <v>-13</v>
      </c>
      <c r="AR735">
        <v>-64</v>
      </c>
      <c r="AZ735">
        <v>300</v>
      </c>
      <c r="BA735">
        <v>1</v>
      </c>
      <c r="BB735" t="str">
        <f t="shared" si="35"/>
        <v xml:space="preserve">N162AM  </v>
      </c>
      <c r="BC735">
        <v>1</v>
      </c>
      <c r="BE735">
        <v>0</v>
      </c>
      <c r="BF735">
        <v>0</v>
      </c>
      <c r="BG735">
        <v>0</v>
      </c>
      <c r="BH735">
        <v>1850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>"14:45:48.974"</f>
        <v>14:45:48.974</v>
      </c>
      <c r="CJ735">
        <v>3</v>
      </c>
      <c r="CK735">
        <v>2</v>
      </c>
      <c r="CL735">
        <v>0</v>
      </c>
      <c r="CM735">
        <v>2</v>
      </c>
      <c r="CN735">
        <v>0</v>
      </c>
      <c r="CO735">
        <v>6</v>
      </c>
      <c r="CP735" t="s">
        <v>119</v>
      </c>
      <c r="CQ735">
        <v>232</v>
      </c>
      <c r="CR735">
        <v>1</v>
      </c>
      <c r="CW735">
        <v>15117847</v>
      </c>
      <c r="CY735">
        <v>1</v>
      </c>
      <c r="CZ735">
        <v>0</v>
      </c>
      <c r="DA735">
        <v>1</v>
      </c>
      <c r="DB735">
        <v>0</v>
      </c>
      <c r="DC735">
        <v>0</v>
      </c>
      <c r="DD735">
        <v>1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"12/16/2021 14:45:49.410"</f>
        <v>12/16/2021 14:45:49.410</v>
      </c>
      <c r="C736" t="str">
        <f t="shared" si="34"/>
        <v>FFDFD3C0</v>
      </c>
      <c r="D736" t="s">
        <v>133</v>
      </c>
      <c r="E736">
        <v>44</v>
      </c>
      <c r="H736">
        <v>131</v>
      </c>
      <c r="I736" t="s">
        <v>134</v>
      </c>
      <c r="J736" t="s">
        <v>135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"14:45:48.969"</f>
        <v>14:45:48.969</v>
      </c>
      <c r="T736" t="str">
        <f>"14:45:47.869"</f>
        <v>14:45:47.869</v>
      </c>
      <c r="U736" t="str">
        <f t="shared" si="33"/>
        <v>A0F928</v>
      </c>
      <c r="V736">
        <v>0</v>
      </c>
      <c r="W736">
        <v>0</v>
      </c>
      <c r="X736">
        <v>2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1</v>
      </c>
      <c r="AI736" t="s">
        <v>478</v>
      </c>
      <c r="AJ736">
        <v>35.800280999999998</v>
      </c>
      <c r="AK736" t="s">
        <v>479</v>
      </c>
      <c r="AL736">
        <v>-83.943036000000006</v>
      </c>
      <c r="AM736">
        <v>25</v>
      </c>
      <c r="AN736">
        <v>1600</v>
      </c>
      <c r="AO736" t="s">
        <v>118</v>
      </c>
      <c r="AP736">
        <v>-103</v>
      </c>
      <c r="AQ736">
        <v>-13</v>
      </c>
      <c r="AR736">
        <v>-64</v>
      </c>
      <c r="AZ736">
        <v>300</v>
      </c>
      <c r="BA736">
        <v>1</v>
      </c>
      <c r="BB736" t="str">
        <f t="shared" si="35"/>
        <v xml:space="preserve">N162AM  </v>
      </c>
      <c r="BC736">
        <v>1</v>
      </c>
      <c r="BE736">
        <v>0</v>
      </c>
      <c r="BF736">
        <v>0</v>
      </c>
      <c r="BG736">
        <v>0</v>
      </c>
      <c r="BH736">
        <v>1850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>"14:45:48.974"</f>
        <v>14:45:48.974</v>
      </c>
      <c r="CJ736">
        <v>3</v>
      </c>
      <c r="CK736">
        <v>2</v>
      </c>
      <c r="CL736">
        <v>0</v>
      </c>
      <c r="CM736">
        <v>2</v>
      </c>
      <c r="CN736">
        <v>0</v>
      </c>
      <c r="CO736">
        <v>6</v>
      </c>
      <c r="CP736" t="s">
        <v>119</v>
      </c>
      <c r="CQ736">
        <v>232</v>
      </c>
      <c r="CR736">
        <v>1</v>
      </c>
      <c r="CW736">
        <v>15117847</v>
      </c>
      <c r="CY736">
        <v>1</v>
      </c>
      <c r="CZ736">
        <v>0</v>
      </c>
      <c r="DA736">
        <v>1</v>
      </c>
      <c r="DB736">
        <v>0</v>
      </c>
      <c r="DC736">
        <v>0</v>
      </c>
      <c r="DD736">
        <v>1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"12/16/2021 14:45:50.381"</f>
        <v>12/16/2021 14:45:50.381</v>
      </c>
      <c r="C737" t="str">
        <f t="shared" si="34"/>
        <v>FFDFD3C0</v>
      </c>
      <c r="D737" t="s">
        <v>124</v>
      </c>
      <c r="E737">
        <v>10</v>
      </c>
      <c r="F737">
        <v>1010</v>
      </c>
      <c r="G737" t="s">
        <v>130</v>
      </c>
      <c r="J737" t="s">
        <v>125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"14:45:50.133"</f>
        <v>14:45:50.133</v>
      </c>
      <c r="T737" t="str">
        <f>"14:45:49.633"</f>
        <v>14:45:49.633</v>
      </c>
      <c r="U737" t="str">
        <f t="shared" si="33"/>
        <v>A0F928</v>
      </c>
      <c r="V737">
        <v>0</v>
      </c>
      <c r="W737">
        <v>0</v>
      </c>
      <c r="X737">
        <v>2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1</v>
      </c>
      <c r="AI737" t="s">
        <v>480</v>
      </c>
      <c r="AJ737">
        <v>35.800302000000002</v>
      </c>
      <c r="AK737" t="s">
        <v>481</v>
      </c>
      <c r="AL737">
        <v>-83.943679000000003</v>
      </c>
      <c r="AM737">
        <v>25</v>
      </c>
      <c r="AN737">
        <v>1600</v>
      </c>
      <c r="AO737" t="s">
        <v>118</v>
      </c>
      <c r="AP737">
        <v>-105</v>
      </c>
      <c r="AQ737">
        <v>-3</v>
      </c>
      <c r="AR737">
        <v>-128</v>
      </c>
      <c r="AZ737">
        <v>300</v>
      </c>
      <c r="BA737">
        <v>1</v>
      </c>
      <c r="BB737" t="str">
        <f t="shared" si="35"/>
        <v xml:space="preserve">N162AM  </v>
      </c>
      <c r="BC737">
        <v>1</v>
      </c>
      <c r="BE737">
        <v>0</v>
      </c>
      <c r="BF737">
        <v>0</v>
      </c>
      <c r="BG737">
        <v>0</v>
      </c>
      <c r="BH737">
        <v>1850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>"14:45:50.139"</f>
        <v>14:45:50.139</v>
      </c>
      <c r="CJ737">
        <v>3</v>
      </c>
      <c r="CK737">
        <v>2</v>
      </c>
      <c r="CL737">
        <v>0</v>
      </c>
      <c r="CM737">
        <v>2</v>
      </c>
      <c r="CN737">
        <v>0</v>
      </c>
      <c r="CO737">
        <v>6</v>
      </c>
      <c r="CP737" t="s">
        <v>119</v>
      </c>
      <c r="CQ737">
        <v>232</v>
      </c>
      <c r="CR737">
        <v>2</v>
      </c>
      <c r="CW737">
        <v>6313297</v>
      </c>
      <c r="CY737">
        <v>1</v>
      </c>
      <c r="CZ737">
        <v>0</v>
      </c>
      <c r="DA737">
        <v>0</v>
      </c>
      <c r="DB737">
        <v>0</v>
      </c>
      <c r="DC737">
        <v>0</v>
      </c>
      <c r="DD737">
        <v>1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"12/16/2021 14:45:50.381"</f>
        <v>12/16/2021 14:45:50.381</v>
      </c>
      <c r="C738" t="str">
        <f t="shared" si="34"/>
        <v>FFDFD3C0</v>
      </c>
      <c r="D738" t="s">
        <v>124</v>
      </c>
      <c r="E738">
        <v>5</v>
      </c>
      <c r="F738">
        <v>1005</v>
      </c>
      <c r="G738" t="s">
        <v>114</v>
      </c>
      <c r="J738" t="s">
        <v>125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"14:45:50.133"</f>
        <v>14:45:50.133</v>
      </c>
      <c r="T738" t="str">
        <f>"14:45:49.633"</f>
        <v>14:45:49.633</v>
      </c>
      <c r="U738" t="str">
        <f t="shared" si="33"/>
        <v>A0F928</v>
      </c>
      <c r="V738">
        <v>0</v>
      </c>
      <c r="W738">
        <v>0</v>
      </c>
      <c r="X738">
        <v>2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1</v>
      </c>
      <c r="AI738" t="s">
        <v>480</v>
      </c>
      <c r="AJ738">
        <v>35.800302000000002</v>
      </c>
      <c r="AK738" t="s">
        <v>481</v>
      </c>
      <c r="AL738">
        <v>-83.943679000000003</v>
      </c>
      <c r="AM738">
        <v>25</v>
      </c>
      <c r="AN738">
        <v>1600</v>
      </c>
      <c r="AO738" t="s">
        <v>118</v>
      </c>
      <c r="AP738">
        <v>-105</v>
      </c>
      <c r="AQ738">
        <v>-3</v>
      </c>
      <c r="AR738">
        <v>-128</v>
      </c>
      <c r="AZ738">
        <v>300</v>
      </c>
      <c r="BA738">
        <v>1</v>
      </c>
      <c r="BB738" t="str">
        <f t="shared" si="35"/>
        <v xml:space="preserve">N162AM  </v>
      </c>
      <c r="BC738">
        <v>1</v>
      </c>
      <c r="BE738">
        <v>0</v>
      </c>
      <c r="BF738">
        <v>0</v>
      </c>
      <c r="BG738">
        <v>0</v>
      </c>
      <c r="BH738">
        <v>1850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>"14:45:50.139"</f>
        <v>14:45:50.139</v>
      </c>
      <c r="CJ738">
        <v>3</v>
      </c>
      <c r="CK738">
        <v>2</v>
      </c>
      <c r="CL738">
        <v>0</v>
      </c>
      <c r="CM738">
        <v>2</v>
      </c>
      <c r="CN738">
        <v>0</v>
      </c>
      <c r="CO738">
        <v>6</v>
      </c>
      <c r="CP738" t="s">
        <v>119</v>
      </c>
      <c r="CQ738">
        <v>232</v>
      </c>
      <c r="CR738">
        <v>2</v>
      </c>
      <c r="CW738">
        <v>6313297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1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"12/16/2021 14:45:50.381"</f>
        <v>12/16/2021 14:45:50.381</v>
      </c>
      <c r="C739" t="str">
        <f t="shared" si="34"/>
        <v>FFDFD3C0</v>
      </c>
      <c r="D739" t="s">
        <v>133</v>
      </c>
      <c r="E739">
        <v>44</v>
      </c>
      <c r="H739">
        <v>131</v>
      </c>
      <c r="I739" t="s">
        <v>134</v>
      </c>
      <c r="J739" t="s">
        <v>135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"14:45:50.133"</f>
        <v>14:45:50.133</v>
      </c>
      <c r="T739" t="str">
        <f>"14:45:49.633"</f>
        <v>14:45:49.633</v>
      </c>
      <c r="U739" t="str">
        <f t="shared" si="33"/>
        <v>A0F928</v>
      </c>
      <c r="V739">
        <v>0</v>
      </c>
      <c r="W739">
        <v>0</v>
      </c>
      <c r="X739">
        <v>2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1</v>
      </c>
      <c r="AI739" t="s">
        <v>480</v>
      </c>
      <c r="AJ739">
        <v>35.800302000000002</v>
      </c>
      <c r="AK739" t="s">
        <v>481</v>
      </c>
      <c r="AL739">
        <v>-83.943679000000003</v>
      </c>
      <c r="AM739">
        <v>25</v>
      </c>
      <c r="AN739">
        <v>1600</v>
      </c>
      <c r="AO739" t="s">
        <v>118</v>
      </c>
      <c r="AP739">
        <v>-105</v>
      </c>
      <c r="AQ739">
        <v>-3</v>
      </c>
      <c r="AR739">
        <v>-128</v>
      </c>
      <c r="AZ739">
        <v>300</v>
      </c>
      <c r="BA739">
        <v>1</v>
      </c>
      <c r="BB739" t="str">
        <f t="shared" si="35"/>
        <v xml:space="preserve">N162AM  </v>
      </c>
      <c r="BC739">
        <v>1</v>
      </c>
      <c r="BE739">
        <v>0</v>
      </c>
      <c r="BF739">
        <v>0</v>
      </c>
      <c r="BG739">
        <v>0</v>
      </c>
      <c r="BH739">
        <v>1850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>"14:45:50.139"</f>
        <v>14:45:50.139</v>
      </c>
      <c r="CJ739">
        <v>3</v>
      </c>
      <c r="CK739">
        <v>2</v>
      </c>
      <c r="CL739">
        <v>0</v>
      </c>
      <c r="CM739">
        <v>2</v>
      </c>
      <c r="CN739">
        <v>0</v>
      </c>
      <c r="CO739">
        <v>6</v>
      </c>
      <c r="CP739" t="s">
        <v>119</v>
      </c>
      <c r="CQ739">
        <v>232</v>
      </c>
      <c r="CR739">
        <v>2</v>
      </c>
      <c r="CW739">
        <v>6313297</v>
      </c>
      <c r="CY739">
        <v>1</v>
      </c>
      <c r="CZ739">
        <v>0</v>
      </c>
      <c r="DA739">
        <v>1</v>
      </c>
      <c r="DB739">
        <v>0</v>
      </c>
      <c r="DC739">
        <v>0</v>
      </c>
      <c r="DD739">
        <v>1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"12/16/2021 14:45:50.412"</f>
        <v>12/16/2021 14:45:50.412</v>
      </c>
      <c r="C740" t="str">
        <f t="shared" si="34"/>
        <v>FFDFD3C0</v>
      </c>
      <c r="D740" t="s">
        <v>113</v>
      </c>
      <c r="E740">
        <v>8</v>
      </c>
      <c r="H740">
        <v>176</v>
      </c>
      <c r="I740" t="s">
        <v>114</v>
      </c>
      <c r="J740" t="s">
        <v>115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"14:45:50.133"</f>
        <v>14:45:50.133</v>
      </c>
      <c r="T740" t="str">
        <f>"14:45:49.633"</f>
        <v>14:45:49.633</v>
      </c>
      <c r="U740" t="str">
        <f t="shared" si="33"/>
        <v>A0F928</v>
      </c>
      <c r="V740">
        <v>0</v>
      </c>
      <c r="W740">
        <v>0</v>
      </c>
      <c r="X740">
        <v>2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1</v>
      </c>
      <c r="AI740" t="s">
        <v>480</v>
      </c>
      <c r="AJ740">
        <v>35.800302000000002</v>
      </c>
      <c r="AK740" t="s">
        <v>481</v>
      </c>
      <c r="AL740">
        <v>-83.943679000000003</v>
      </c>
      <c r="AM740">
        <v>25</v>
      </c>
      <c r="AN740">
        <v>1600</v>
      </c>
      <c r="AO740" t="s">
        <v>118</v>
      </c>
      <c r="AP740">
        <v>-105</v>
      </c>
      <c r="AQ740">
        <v>-3</v>
      </c>
      <c r="AR740">
        <v>-128</v>
      </c>
      <c r="AZ740">
        <v>300</v>
      </c>
      <c r="BA740">
        <v>1</v>
      </c>
      <c r="BB740" t="str">
        <f t="shared" si="35"/>
        <v xml:space="preserve">N162AM  </v>
      </c>
      <c r="BC740">
        <v>1</v>
      </c>
      <c r="BE740">
        <v>0</v>
      </c>
      <c r="BF740">
        <v>0</v>
      </c>
      <c r="BG740">
        <v>0</v>
      </c>
      <c r="BH740">
        <v>1850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>"14:45:50.139"</f>
        <v>14:45:50.139</v>
      </c>
      <c r="CJ740">
        <v>3</v>
      </c>
      <c r="CK740">
        <v>2</v>
      </c>
      <c r="CL740">
        <v>0</v>
      </c>
      <c r="CM740">
        <v>2</v>
      </c>
      <c r="CN740">
        <v>0</v>
      </c>
      <c r="CO740">
        <v>6</v>
      </c>
      <c r="CP740" t="s">
        <v>119</v>
      </c>
      <c r="CQ740">
        <v>232</v>
      </c>
      <c r="CR740">
        <v>2</v>
      </c>
      <c r="CW740">
        <v>6313297</v>
      </c>
      <c r="CY740">
        <v>1</v>
      </c>
      <c r="CZ740">
        <v>0</v>
      </c>
      <c r="DA740">
        <v>1</v>
      </c>
      <c r="DB740">
        <v>0</v>
      </c>
      <c r="DC740">
        <v>0</v>
      </c>
      <c r="DD740">
        <v>1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"12/16/2021 14:45:51.256"</f>
        <v>12/16/2021 14:45:51.256</v>
      </c>
      <c r="C741" t="str">
        <f t="shared" si="34"/>
        <v>FFDFD3C0</v>
      </c>
      <c r="D741" t="s">
        <v>124</v>
      </c>
      <c r="E741">
        <v>10</v>
      </c>
      <c r="F741">
        <v>1010</v>
      </c>
      <c r="G741" t="s">
        <v>130</v>
      </c>
      <c r="J741" t="s">
        <v>125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"14:45:51.078"</f>
        <v>14:45:51.078</v>
      </c>
      <c r="T741" t="str">
        <f>"14:45:50.578"</f>
        <v>14:45:50.578</v>
      </c>
      <c r="U741" t="str">
        <f t="shared" si="33"/>
        <v>A0F928</v>
      </c>
      <c r="V741">
        <v>0</v>
      </c>
      <c r="W741">
        <v>0</v>
      </c>
      <c r="X741">
        <v>2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1</v>
      </c>
      <c r="AI741" t="s">
        <v>480</v>
      </c>
      <c r="AJ741">
        <v>35.800302000000002</v>
      </c>
      <c r="AK741" t="s">
        <v>482</v>
      </c>
      <c r="AL741">
        <v>-83.944322999999997</v>
      </c>
      <c r="AM741">
        <v>25</v>
      </c>
      <c r="AN741">
        <v>1600</v>
      </c>
      <c r="AO741" t="s">
        <v>118</v>
      </c>
      <c r="AP741">
        <v>-106</v>
      </c>
      <c r="AQ741">
        <v>4</v>
      </c>
      <c r="AR741">
        <v>-128</v>
      </c>
      <c r="AZ741">
        <v>300</v>
      </c>
      <c r="BA741">
        <v>1</v>
      </c>
      <c r="BB741" t="str">
        <f t="shared" si="35"/>
        <v xml:space="preserve">N162AM  </v>
      </c>
      <c r="BC741">
        <v>1</v>
      </c>
      <c r="BE741">
        <v>0</v>
      </c>
      <c r="BF741">
        <v>0</v>
      </c>
      <c r="BG741">
        <v>0</v>
      </c>
      <c r="BH741">
        <v>1850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>"14:45:51.081"</f>
        <v>14:45:51.081</v>
      </c>
      <c r="CJ741">
        <v>3</v>
      </c>
      <c r="CK741">
        <v>2</v>
      </c>
      <c r="CL741">
        <v>0</v>
      </c>
      <c r="CM741">
        <v>2</v>
      </c>
      <c r="CN741">
        <v>0</v>
      </c>
      <c r="CO741">
        <v>6</v>
      </c>
      <c r="CP741" t="s">
        <v>119</v>
      </c>
      <c r="CQ741">
        <v>232</v>
      </c>
      <c r="CR741">
        <v>2</v>
      </c>
      <c r="CW741">
        <v>6314770</v>
      </c>
      <c r="CY741">
        <v>1</v>
      </c>
      <c r="CZ741">
        <v>0</v>
      </c>
      <c r="DA741">
        <v>0</v>
      </c>
      <c r="DB741">
        <v>0</v>
      </c>
      <c r="DC741">
        <v>0</v>
      </c>
      <c r="DD741">
        <v>1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"12/16/2021 14:45:51.287"</f>
        <v>12/16/2021 14:45:51.287</v>
      </c>
      <c r="C742" t="str">
        <f t="shared" si="34"/>
        <v>FFDFD3C0</v>
      </c>
      <c r="D742" t="s">
        <v>124</v>
      </c>
      <c r="E742">
        <v>5</v>
      </c>
      <c r="F742">
        <v>1005</v>
      </c>
      <c r="G742" t="s">
        <v>114</v>
      </c>
      <c r="J742" t="s">
        <v>125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"14:45:51.078"</f>
        <v>14:45:51.078</v>
      </c>
      <c r="T742" t="str">
        <f>"14:45:50.578"</f>
        <v>14:45:50.578</v>
      </c>
      <c r="U742" t="str">
        <f t="shared" si="33"/>
        <v>A0F928</v>
      </c>
      <c r="V742">
        <v>0</v>
      </c>
      <c r="W742">
        <v>0</v>
      </c>
      <c r="X742">
        <v>2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1</v>
      </c>
      <c r="AI742" t="s">
        <v>480</v>
      </c>
      <c r="AJ742">
        <v>35.800302000000002</v>
      </c>
      <c r="AK742" t="s">
        <v>482</v>
      </c>
      <c r="AL742">
        <v>-83.944322999999997</v>
      </c>
      <c r="AM742">
        <v>25</v>
      </c>
      <c r="AN742">
        <v>1600</v>
      </c>
      <c r="AO742" t="s">
        <v>118</v>
      </c>
      <c r="AP742">
        <v>-106</v>
      </c>
      <c r="AQ742">
        <v>4</v>
      </c>
      <c r="AR742">
        <v>-128</v>
      </c>
      <c r="AZ742">
        <v>300</v>
      </c>
      <c r="BA742">
        <v>1</v>
      </c>
      <c r="BB742" t="str">
        <f t="shared" si="35"/>
        <v xml:space="preserve">N162AM  </v>
      </c>
      <c r="BC742">
        <v>1</v>
      </c>
      <c r="BE742">
        <v>0</v>
      </c>
      <c r="BF742">
        <v>0</v>
      </c>
      <c r="BG742">
        <v>0</v>
      </c>
      <c r="BH742">
        <v>1850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>"14:45:51.081"</f>
        <v>14:45:51.081</v>
      </c>
      <c r="CJ742">
        <v>3</v>
      </c>
      <c r="CK742">
        <v>2</v>
      </c>
      <c r="CL742">
        <v>0</v>
      </c>
      <c r="CM742">
        <v>2</v>
      </c>
      <c r="CN742">
        <v>0</v>
      </c>
      <c r="CO742">
        <v>6</v>
      </c>
      <c r="CP742" t="s">
        <v>119</v>
      </c>
      <c r="CQ742">
        <v>232</v>
      </c>
      <c r="CR742">
        <v>2</v>
      </c>
      <c r="CW742">
        <v>6314770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1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"12/16/2021 14:45:51.287"</f>
        <v>12/16/2021 14:45:51.287</v>
      </c>
      <c r="C743" t="str">
        <f t="shared" si="34"/>
        <v>FFDFD3C0</v>
      </c>
      <c r="D743" t="s">
        <v>133</v>
      </c>
      <c r="E743">
        <v>44</v>
      </c>
      <c r="H743">
        <v>131</v>
      </c>
      <c r="I743" t="s">
        <v>134</v>
      </c>
      <c r="J743" t="s">
        <v>135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"14:45:51.078"</f>
        <v>14:45:51.078</v>
      </c>
      <c r="T743" t="str">
        <f>"14:45:50.578"</f>
        <v>14:45:50.578</v>
      </c>
      <c r="U743" t="str">
        <f t="shared" si="33"/>
        <v>A0F928</v>
      </c>
      <c r="V743">
        <v>0</v>
      </c>
      <c r="W743">
        <v>0</v>
      </c>
      <c r="X743">
        <v>2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1</v>
      </c>
      <c r="AI743" t="s">
        <v>480</v>
      </c>
      <c r="AJ743">
        <v>35.800302000000002</v>
      </c>
      <c r="AK743" t="s">
        <v>482</v>
      </c>
      <c r="AL743">
        <v>-83.944322999999997</v>
      </c>
      <c r="AM743">
        <v>25</v>
      </c>
      <c r="AN743">
        <v>1600</v>
      </c>
      <c r="AO743" t="s">
        <v>118</v>
      </c>
      <c r="AP743">
        <v>-106</v>
      </c>
      <c r="AQ743">
        <v>4</v>
      </c>
      <c r="AR743">
        <v>-128</v>
      </c>
      <c r="AZ743">
        <v>300</v>
      </c>
      <c r="BA743">
        <v>1</v>
      </c>
      <c r="BB743" t="str">
        <f t="shared" si="35"/>
        <v xml:space="preserve">N162AM  </v>
      </c>
      <c r="BC743">
        <v>1</v>
      </c>
      <c r="BE743">
        <v>0</v>
      </c>
      <c r="BF743">
        <v>0</v>
      </c>
      <c r="BG743">
        <v>0</v>
      </c>
      <c r="BH743">
        <v>1850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>"14:45:51.081"</f>
        <v>14:45:51.081</v>
      </c>
      <c r="CJ743">
        <v>3</v>
      </c>
      <c r="CK743">
        <v>2</v>
      </c>
      <c r="CL743">
        <v>0</v>
      </c>
      <c r="CM743">
        <v>2</v>
      </c>
      <c r="CN743">
        <v>0</v>
      </c>
      <c r="CO743">
        <v>6</v>
      </c>
      <c r="CP743" t="s">
        <v>119</v>
      </c>
      <c r="CQ743">
        <v>232</v>
      </c>
      <c r="CR743">
        <v>2</v>
      </c>
      <c r="CW743">
        <v>6314770</v>
      </c>
      <c r="CY743">
        <v>1</v>
      </c>
      <c r="CZ743">
        <v>0</v>
      </c>
      <c r="DA743">
        <v>1</v>
      </c>
      <c r="DB743">
        <v>0</v>
      </c>
      <c r="DC743">
        <v>0</v>
      </c>
      <c r="DD743">
        <v>1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"12/16/2021 14:45:51.303"</f>
        <v>12/16/2021 14:45:51.303</v>
      </c>
      <c r="C744" t="str">
        <f t="shared" si="34"/>
        <v>FFDFD3C0</v>
      </c>
      <c r="D744" t="s">
        <v>113</v>
      </c>
      <c r="E744">
        <v>8</v>
      </c>
      <c r="H744">
        <v>176</v>
      </c>
      <c r="I744" t="s">
        <v>114</v>
      </c>
      <c r="J744" t="s">
        <v>115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"14:45:51.078"</f>
        <v>14:45:51.078</v>
      </c>
      <c r="T744" t="str">
        <f>"14:45:50.578"</f>
        <v>14:45:50.578</v>
      </c>
      <c r="U744" t="str">
        <f t="shared" si="33"/>
        <v>A0F928</v>
      </c>
      <c r="V744">
        <v>0</v>
      </c>
      <c r="W744">
        <v>0</v>
      </c>
      <c r="X744">
        <v>2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1</v>
      </c>
      <c r="AI744" t="s">
        <v>480</v>
      </c>
      <c r="AJ744">
        <v>35.800302000000002</v>
      </c>
      <c r="AK744" t="s">
        <v>482</v>
      </c>
      <c r="AL744">
        <v>-83.944322999999997</v>
      </c>
      <c r="AM744">
        <v>25</v>
      </c>
      <c r="AN744">
        <v>1600</v>
      </c>
      <c r="AO744" t="s">
        <v>118</v>
      </c>
      <c r="AP744">
        <v>-106</v>
      </c>
      <c r="AQ744">
        <v>4</v>
      </c>
      <c r="AR744">
        <v>-128</v>
      </c>
      <c r="AZ744">
        <v>300</v>
      </c>
      <c r="BA744">
        <v>1</v>
      </c>
      <c r="BB744" t="str">
        <f t="shared" si="35"/>
        <v xml:space="preserve">N162AM  </v>
      </c>
      <c r="BC744">
        <v>1</v>
      </c>
      <c r="BE744">
        <v>0</v>
      </c>
      <c r="BF744">
        <v>0</v>
      </c>
      <c r="BG744">
        <v>0</v>
      </c>
      <c r="BH744">
        <v>1850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>"14:45:51.081"</f>
        <v>14:45:51.081</v>
      </c>
      <c r="CJ744">
        <v>3</v>
      </c>
      <c r="CK744">
        <v>2</v>
      </c>
      <c r="CL744">
        <v>0</v>
      </c>
      <c r="CM744">
        <v>2</v>
      </c>
      <c r="CN744">
        <v>0</v>
      </c>
      <c r="CO744">
        <v>6</v>
      </c>
      <c r="CP744" t="s">
        <v>119</v>
      </c>
      <c r="CQ744">
        <v>232</v>
      </c>
      <c r="CR744">
        <v>2</v>
      </c>
      <c r="CW744">
        <v>6314770</v>
      </c>
      <c r="CY744">
        <v>1</v>
      </c>
      <c r="CZ744">
        <v>0</v>
      </c>
      <c r="DA744">
        <v>1</v>
      </c>
      <c r="DB744">
        <v>0</v>
      </c>
      <c r="DC744">
        <v>0</v>
      </c>
      <c r="DD744">
        <v>1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"12/16/2021 14:45:52.366"</f>
        <v>12/16/2021 14:45:52.366</v>
      </c>
      <c r="C745" t="str">
        <f t="shared" si="34"/>
        <v>FFDFD3C0</v>
      </c>
      <c r="D745" t="s">
        <v>133</v>
      </c>
      <c r="E745">
        <v>44</v>
      </c>
      <c r="H745">
        <v>131</v>
      </c>
      <c r="I745" t="s">
        <v>134</v>
      </c>
      <c r="J745" t="s">
        <v>135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"14:45:52.156"</f>
        <v>14:45:52.156</v>
      </c>
      <c r="T745" t="str">
        <f>"14:45:51.656"</f>
        <v>14:45:51.656</v>
      </c>
      <c r="U745" t="str">
        <f t="shared" si="33"/>
        <v>A0F928</v>
      </c>
      <c r="V745">
        <v>0</v>
      </c>
      <c r="W745">
        <v>0</v>
      </c>
      <c r="X745">
        <v>2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1</v>
      </c>
      <c r="AI745" t="s">
        <v>483</v>
      </c>
      <c r="AJ745">
        <v>35.800365999999997</v>
      </c>
      <c r="AK745" t="s">
        <v>484</v>
      </c>
      <c r="AL745">
        <v>-83.944987999999995</v>
      </c>
      <c r="AM745">
        <v>25</v>
      </c>
      <c r="AN745">
        <v>1600</v>
      </c>
      <c r="AO745" t="s">
        <v>118</v>
      </c>
      <c r="AP745">
        <v>-107</v>
      </c>
      <c r="AQ745">
        <v>10</v>
      </c>
      <c r="AR745">
        <v>-128</v>
      </c>
      <c r="AZ745">
        <v>300</v>
      </c>
      <c r="BA745">
        <v>1</v>
      </c>
      <c r="BB745" t="str">
        <f t="shared" si="35"/>
        <v xml:space="preserve">N162AM  </v>
      </c>
      <c r="BC745">
        <v>1</v>
      </c>
      <c r="BE745">
        <v>0</v>
      </c>
      <c r="BF745">
        <v>0</v>
      </c>
      <c r="BG745">
        <v>0</v>
      </c>
      <c r="BH745">
        <v>1850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>"14:45:52.164"</f>
        <v>14:45:52.164</v>
      </c>
      <c r="CJ745">
        <v>3</v>
      </c>
      <c r="CK745">
        <v>2</v>
      </c>
      <c r="CL745">
        <v>0</v>
      </c>
      <c r="CM745">
        <v>2</v>
      </c>
      <c r="CN745">
        <v>0</v>
      </c>
      <c r="CO745">
        <v>7</v>
      </c>
      <c r="CP745" t="s">
        <v>119</v>
      </c>
      <c r="CQ745">
        <v>232</v>
      </c>
      <c r="CR745">
        <v>1</v>
      </c>
      <c r="CW745">
        <v>15122928</v>
      </c>
      <c r="CY745">
        <v>1</v>
      </c>
      <c r="CZ745">
        <v>0</v>
      </c>
      <c r="DA745">
        <v>0</v>
      </c>
      <c r="DB745">
        <v>0</v>
      </c>
      <c r="DC745">
        <v>0</v>
      </c>
      <c r="DD745">
        <v>1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"12/16/2021 14:45:52.366"</f>
        <v>12/16/2021 14:45:52.366</v>
      </c>
      <c r="C746" t="str">
        <f t="shared" si="34"/>
        <v>FFDFD3C0</v>
      </c>
      <c r="D746" t="s">
        <v>113</v>
      </c>
      <c r="E746">
        <v>8</v>
      </c>
      <c r="H746">
        <v>176</v>
      </c>
      <c r="I746" t="s">
        <v>114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"14:45:52.156"</f>
        <v>14:45:52.156</v>
      </c>
      <c r="T746" t="str">
        <f>"14:45:51.656"</f>
        <v>14:45:51.656</v>
      </c>
      <c r="U746" t="str">
        <f t="shared" si="33"/>
        <v>A0F928</v>
      </c>
      <c r="V746">
        <v>0</v>
      </c>
      <c r="W746">
        <v>0</v>
      </c>
      <c r="X746">
        <v>2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1</v>
      </c>
      <c r="AI746" t="s">
        <v>483</v>
      </c>
      <c r="AJ746">
        <v>35.800365999999997</v>
      </c>
      <c r="AK746" t="s">
        <v>484</v>
      </c>
      <c r="AL746">
        <v>-83.944987999999995</v>
      </c>
      <c r="AM746">
        <v>25</v>
      </c>
      <c r="AN746">
        <v>1600</v>
      </c>
      <c r="AO746" t="s">
        <v>118</v>
      </c>
      <c r="AP746">
        <v>-107</v>
      </c>
      <c r="AQ746">
        <v>10</v>
      </c>
      <c r="AR746">
        <v>-128</v>
      </c>
      <c r="AZ746">
        <v>300</v>
      </c>
      <c r="BA746">
        <v>1</v>
      </c>
      <c r="BB746" t="str">
        <f t="shared" si="35"/>
        <v xml:space="preserve">N162AM  </v>
      </c>
      <c r="BC746">
        <v>1</v>
      </c>
      <c r="BE746">
        <v>0</v>
      </c>
      <c r="BF746">
        <v>0</v>
      </c>
      <c r="BG746">
        <v>0</v>
      </c>
      <c r="BH746">
        <v>1850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>"14:45:52.164"</f>
        <v>14:45:52.164</v>
      </c>
      <c r="CJ746">
        <v>3</v>
      </c>
      <c r="CK746">
        <v>2</v>
      </c>
      <c r="CL746">
        <v>0</v>
      </c>
      <c r="CM746">
        <v>2</v>
      </c>
      <c r="CN746">
        <v>0</v>
      </c>
      <c r="CO746">
        <v>7</v>
      </c>
      <c r="CP746" t="s">
        <v>119</v>
      </c>
      <c r="CQ746">
        <v>232</v>
      </c>
      <c r="CR746">
        <v>1</v>
      </c>
      <c r="CW746">
        <v>15122928</v>
      </c>
      <c r="CY746">
        <v>1</v>
      </c>
      <c r="CZ746">
        <v>0</v>
      </c>
      <c r="DA746">
        <v>1</v>
      </c>
      <c r="DB746">
        <v>0</v>
      </c>
      <c r="DC746">
        <v>0</v>
      </c>
      <c r="DD746">
        <v>1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"12/16/2021 14:45:52.366"</f>
        <v>12/16/2021 14:45:52.366</v>
      </c>
      <c r="C747" t="str">
        <f t="shared" si="34"/>
        <v>FFDFD3C0</v>
      </c>
      <c r="D747" t="s">
        <v>124</v>
      </c>
      <c r="E747">
        <v>10</v>
      </c>
      <c r="F747">
        <v>1010</v>
      </c>
      <c r="G747" t="s">
        <v>130</v>
      </c>
      <c r="J747" t="s">
        <v>125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"14:45:52.156"</f>
        <v>14:45:52.156</v>
      </c>
      <c r="T747" t="str">
        <f>"14:45:51.656"</f>
        <v>14:45:51.656</v>
      </c>
      <c r="U747" t="str">
        <f t="shared" si="33"/>
        <v>A0F928</v>
      </c>
      <c r="V747">
        <v>0</v>
      </c>
      <c r="W747">
        <v>0</v>
      </c>
      <c r="X747">
        <v>2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1</v>
      </c>
      <c r="AI747" t="s">
        <v>483</v>
      </c>
      <c r="AJ747">
        <v>35.800365999999997</v>
      </c>
      <c r="AK747" t="s">
        <v>484</v>
      </c>
      <c r="AL747">
        <v>-83.944987999999995</v>
      </c>
      <c r="AM747">
        <v>25</v>
      </c>
      <c r="AN747">
        <v>1600</v>
      </c>
      <c r="AO747" t="s">
        <v>118</v>
      </c>
      <c r="AP747">
        <v>-107</v>
      </c>
      <c r="AQ747">
        <v>10</v>
      </c>
      <c r="AR747">
        <v>-128</v>
      </c>
      <c r="AZ747">
        <v>300</v>
      </c>
      <c r="BA747">
        <v>1</v>
      </c>
      <c r="BB747" t="str">
        <f t="shared" si="35"/>
        <v xml:space="preserve">N162AM  </v>
      </c>
      <c r="BC747">
        <v>1</v>
      </c>
      <c r="BE747">
        <v>0</v>
      </c>
      <c r="BF747">
        <v>0</v>
      </c>
      <c r="BG747">
        <v>0</v>
      </c>
      <c r="BH747">
        <v>1850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>"14:45:52.164"</f>
        <v>14:45:52.164</v>
      </c>
      <c r="CJ747">
        <v>3</v>
      </c>
      <c r="CK747">
        <v>2</v>
      </c>
      <c r="CL747">
        <v>0</v>
      </c>
      <c r="CM747">
        <v>2</v>
      </c>
      <c r="CN747">
        <v>0</v>
      </c>
      <c r="CO747">
        <v>7</v>
      </c>
      <c r="CP747" t="s">
        <v>119</v>
      </c>
      <c r="CQ747">
        <v>232</v>
      </c>
      <c r="CR747">
        <v>1</v>
      </c>
      <c r="CW747">
        <v>15122928</v>
      </c>
      <c r="CY747">
        <v>1</v>
      </c>
      <c r="CZ747">
        <v>0</v>
      </c>
      <c r="DA747">
        <v>1</v>
      </c>
      <c r="DB747">
        <v>0</v>
      </c>
      <c r="DC747">
        <v>0</v>
      </c>
      <c r="DD747">
        <v>1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"12/16/2021 14:45:52.366"</f>
        <v>12/16/2021 14:45:52.366</v>
      </c>
      <c r="C748" t="str">
        <f t="shared" si="34"/>
        <v>FFDFD3C0</v>
      </c>
      <c r="D748" t="s">
        <v>124</v>
      </c>
      <c r="E748">
        <v>5</v>
      </c>
      <c r="F748">
        <v>1005</v>
      </c>
      <c r="G748" t="s">
        <v>114</v>
      </c>
      <c r="J748" t="s">
        <v>125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"14:45:52.156"</f>
        <v>14:45:52.156</v>
      </c>
      <c r="T748" t="str">
        <f>"14:45:51.656"</f>
        <v>14:45:51.656</v>
      </c>
      <c r="U748" t="str">
        <f t="shared" si="33"/>
        <v>A0F928</v>
      </c>
      <c r="V748">
        <v>0</v>
      </c>
      <c r="W748">
        <v>0</v>
      </c>
      <c r="X748">
        <v>2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1</v>
      </c>
      <c r="AI748" t="s">
        <v>483</v>
      </c>
      <c r="AJ748">
        <v>35.800365999999997</v>
      </c>
      <c r="AK748" t="s">
        <v>484</v>
      </c>
      <c r="AL748">
        <v>-83.944987999999995</v>
      </c>
      <c r="AM748">
        <v>25</v>
      </c>
      <c r="AN748">
        <v>1600</v>
      </c>
      <c r="AO748" t="s">
        <v>118</v>
      </c>
      <c r="AP748">
        <v>-107</v>
      </c>
      <c r="AQ748">
        <v>10</v>
      </c>
      <c r="AR748">
        <v>-128</v>
      </c>
      <c r="AZ748">
        <v>300</v>
      </c>
      <c r="BA748">
        <v>1</v>
      </c>
      <c r="BB748" t="str">
        <f t="shared" si="35"/>
        <v xml:space="preserve">N162AM  </v>
      </c>
      <c r="BC748">
        <v>1</v>
      </c>
      <c r="BE748">
        <v>0</v>
      </c>
      <c r="BF748">
        <v>0</v>
      </c>
      <c r="BG748">
        <v>0</v>
      </c>
      <c r="BH748">
        <v>1850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>"14:45:52.164"</f>
        <v>14:45:52.164</v>
      </c>
      <c r="CJ748">
        <v>3</v>
      </c>
      <c r="CK748">
        <v>2</v>
      </c>
      <c r="CL748">
        <v>0</v>
      </c>
      <c r="CM748">
        <v>2</v>
      </c>
      <c r="CN748">
        <v>0</v>
      </c>
      <c r="CO748">
        <v>7</v>
      </c>
      <c r="CP748" t="s">
        <v>119</v>
      </c>
      <c r="CQ748">
        <v>232</v>
      </c>
      <c r="CR748">
        <v>1</v>
      </c>
      <c r="CW748">
        <v>15122928</v>
      </c>
      <c r="CY748">
        <v>1</v>
      </c>
      <c r="CZ748">
        <v>0</v>
      </c>
      <c r="DA748">
        <v>1</v>
      </c>
      <c r="DB748">
        <v>0</v>
      </c>
      <c r="DC748">
        <v>0</v>
      </c>
      <c r="DD748">
        <v>1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"12/16/2021 14:45:53.162"</f>
        <v>12/16/2021 14:45:53.162</v>
      </c>
      <c r="C749" t="str">
        <f t="shared" si="34"/>
        <v>FFDFD3C0</v>
      </c>
      <c r="D749" t="s">
        <v>133</v>
      </c>
      <c r="E749">
        <v>44</v>
      </c>
      <c r="H749">
        <v>131</v>
      </c>
      <c r="I749" t="s">
        <v>134</v>
      </c>
      <c r="J749" t="s">
        <v>135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"14:45:52.984"</f>
        <v>14:45:52.984</v>
      </c>
      <c r="T749" t="str">
        <f>"14:45:52.584"</f>
        <v>14:45:52.584</v>
      </c>
      <c r="U749" t="str">
        <f t="shared" si="33"/>
        <v>A0F928</v>
      </c>
      <c r="V749">
        <v>0</v>
      </c>
      <c r="W749">
        <v>0</v>
      </c>
      <c r="X749">
        <v>2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1</v>
      </c>
      <c r="AI749" t="s">
        <v>474</v>
      </c>
      <c r="AJ749">
        <v>35.800452</v>
      </c>
      <c r="AK749" t="s">
        <v>485</v>
      </c>
      <c r="AL749">
        <v>-83.945438999999993</v>
      </c>
      <c r="AM749">
        <v>25</v>
      </c>
      <c r="AN749">
        <v>1600</v>
      </c>
      <c r="AO749" t="s">
        <v>118</v>
      </c>
      <c r="AP749">
        <v>-108</v>
      </c>
      <c r="AQ749">
        <v>17</v>
      </c>
      <c r="AR749">
        <v>-128</v>
      </c>
      <c r="AZ749">
        <v>300</v>
      </c>
      <c r="BA749">
        <v>1</v>
      </c>
      <c r="BB749" t="str">
        <f t="shared" si="35"/>
        <v xml:space="preserve">N162AM  </v>
      </c>
      <c r="BC749">
        <v>1</v>
      </c>
      <c r="BE749">
        <v>0</v>
      </c>
      <c r="BF749">
        <v>0</v>
      </c>
      <c r="BG749">
        <v>0</v>
      </c>
      <c r="BH749">
        <v>1850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>"14:45:52.985"</f>
        <v>14:45:52.985</v>
      </c>
      <c r="CJ749">
        <v>3</v>
      </c>
      <c r="CK749">
        <v>2</v>
      </c>
      <c r="CL749">
        <v>0</v>
      </c>
      <c r="CM749">
        <v>2</v>
      </c>
      <c r="CN749">
        <v>0</v>
      </c>
      <c r="CO749">
        <v>7</v>
      </c>
      <c r="CP749" t="s">
        <v>119</v>
      </c>
      <c r="CQ749">
        <v>232</v>
      </c>
      <c r="CR749">
        <v>1</v>
      </c>
      <c r="CW749">
        <v>15124191</v>
      </c>
      <c r="CY749">
        <v>1</v>
      </c>
      <c r="CZ749">
        <v>0</v>
      </c>
      <c r="DA749">
        <v>0</v>
      </c>
      <c r="DB749">
        <v>0</v>
      </c>
      <c r="DC749">
        <v>0</v>
      </c>
      <c r="DD749">
        <v>1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"12/16/2021 14:45:53.178"</f>
        <v>12/16/2021 14:45:53.178</v>
      </c>
      <c r="C750" t="str">
        <f t="shared" si="34"/>
        <v>FFDFD3C0</v>
      </c>
      <c r="D750" t="s">
        <v>124</v>
      </c>
      <c r="E750">
        <v>10</v>
      </c>
      <c r="F750">
        <v>1010</v>
      </c>
      <c r="G750" t="s">
        <v>130</v>
      </c>
      <c r="J750" t="s">
        <v>125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"14:45:52.984"</f>
        <v>14:45:52.984</v>
      </c>
      <c r="T750" t="str">
        <f>"14:45:52.584"</f>
        <v>14:45:52.584</v>
      </c>
      <c r="U750" t="str">
        <f t="shared" si="33"/>
        <v>A0F928</v>
      </c>
      <c r="V750">
        <v>0</v>
      </c>
      <c r="W750">
        <v>0</v>
      </c>
      <c r="X750">
        <v>2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1</v>
      </c>
      <c r="AI750" t="s">
        <v>474</v>
      </c>
      <c r="AJ750">
        <v>35.800452</v>
      </c>
      <c r="AK750" t="s">
        <v>485</v>
      </c>
      <c r="AL750">
        <v>-83.945438999999993</v>
      </c>
      <c r="AM750">
        <v>25</v>
      </c>
      <c r="AN750">
        <v>1600</v>
      </c>
      <c r="AO750" t="s">
        <v>118</v>
      </c>
      <c r="AP750">
        <v>-108</v>
      </c>
      <c r="AQ750">
        <v>17</v>
      </c>
      <c r="AR750">
        <v>-128</v>
      </c>
      <c r="AZ750">
        <v>300</v>
      </c>
      <c r="BA750">
        <v>1</v>
      </c>
      <c r="BB750" t="str">
        <f t="shared" si="35"/>
        <v xml:space="preserve">N162AM  </v>
      </c>
      <c r="BC750">
        <v>1</v>
      </c>
      <c r="BE750">
        <v>0</v>
      </c>
      <c r="BF750">
        <v>0</v>
      </c>
      <c r="BG750">
        <v>0</v>
      </c>
      <c r="BH750">
        <v>1850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>"14:45:52.985"</f>
        <v>14:45:52.985</v>
      </c>
      <c r="CJ750">
        <v>3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119</v>
      </c>
      <c r="CQ750">
        <v>232</v>
      </c>
      <c r="CR750">
        <v>1</v>
      </c>
      <c r="CW750">
        <v>15124191</v>
      </c>
      <c r="CY750">
        <v>1</v>
      </c>
      <c r="CZ750">
        <v>0</v>
      </c>
      <c r="DA750">
        <v>1</v>
      </c>
      <c r="DB750">
        <v>0</v>
      </c>
      <c r="DC750">
        <v>0</v>
      </c>
      <c r="DD750">
        <v>1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"12/16/2021 14:45:53.178"</f>
        <v>12/16/2021 14:45:53.178</v>
      </c>
      <c r="C751" t="str">
        <f t="shared" si="34"/>
        <v>FFDFD3C0</v>
      </c>
      <c r="D751" t="s">
        <v>113</v>
      </c>
      <c r="E751">
        <v>8</v>
      </c>
      <c r="H751">
        <v>176</v>
      </c>
      <c r="I751" t="s">
        <v>114</v>
      </c>
      <c r="J751" t="s">
        <v>115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"14:45:52.984"</f>
        <v>14:45:52.984</v>
      </c>
      <c r="T751" t="str">
        <f>"14:45:52.584"</f>
        <v>14:45:52.584</v>
      </c>
      <c r="U751" t="str">
        <f t="shared" si="33"/>
        <v>A0F928</v>
      </c>
      <c r="V751">
        <v>0</v>
      </c>
      <c r="W751">
        <v>0</v>
      </c>
      <c r="X751">
        <v>2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1</v>
      </c>
      <c r="AI751" t="s">
        <v>474</v>
      </c>
      <c r="AJ751">
        <v>35.800452</v>
      </c>
      <c r="AK751" t="s">
        <v>485</v>
      </c>
      <c r="AL751">
        <v>-83.945438999999993</v>
      </c>
      <c r="AM751">
        <v>25</v>
      </c>
      <c r="AN751">
        <v>1600</v>
      </c>
      <c r="AO751" t="s">
        <v>118</v>
      </c>
      <c r="AP751">
        <v>-108</v>
      </c>
      <c r="AQ751">
        <v>17</v>
      </c>
      <c r="AR751">
        <v>-128</v>
      </c>
      <c r="AZ751">
        <v>300</v>
      </c>
      <c r="BA751">
        <v>1</v>
      </c>
      <c r="BB751" t="str">
        <f t="shared" si="35"/>
        <v xml:space="preserve">N162AM  </v>
      </c>
      <c r="BC751">
        <v>1</v>
      </c>
      <c r="BE751">
        <v>0</v>
      </c>
      <c r="BF751">
        <v>0</v>
      </c>
      <c r="BG751">
        <v>0</v>
      </c>
      <c r="BH751">
        <v>1850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>"14:45:52.985"</f>
        <v>14:45:52.985</v>
      </c>
      <c r="CJ751">
        <v>3</v>
      </c>
      <c r="CK751">
        <v>2</v>
      </c>
      <c r="CL751">
        <v>0</v>
      </c>
      <c r="CM751">
        <v>2</v>
      </c>
      <c r="CN751">
        <v>0</v>
      </c>
      <c r="CO751">
        <v>7</v>
      </c>
      <c r="CP751" t="s">
        <v>119</v>
      </c>
      <c r="CQ751">
        <v>232</v>
      </c>
      <c r="CR751">
        <v>1</v>
      </c>
      <c r="CW751">
        <v>15124191</v>
      </c>
      <c r="CY751">
        <v>1</v>
      </c>
      <c r="CZ751">
        <v>0</v>
      </c>
      <c r="DA751">
        <v>1</v>
      </c>
      <c r="DB751">
        <v>0</v>
      </c>
      <c r="DC751">
        <v>0</v>
      </c>
      <c r="DD751">
        <v>1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"12/16/2021 14:45:53.178"</f>
        <v>12/16/2021 14:45:53.178</v>
      </c>
      <c r="C752" t="str">
        <f t="shared" si="34"/>
        <v>FFDFD3C0</v>
      </c>
      <c r="D752" t="s">
        <v>124</v>
      </c>
      <c r="E752">
        <v>5</v>
      </c>
      <c r="F752">
        <v>1005</v>
      </c>
      <c r="G752" t="s">
        <v>114</v>
      </c>
      <c r="J752" t="s">
        <v>125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"14:45:52.984"</f>
        <v>14:45:52.984</v>
      </c>
      <c r="T752" t="str">
        <f>"14:45:52.584"</f>
        <v>14:45:52.584</v>
      </c>
      <c r="U752" t="str">
        <f t="shared" si="33"/>
        <v>A0F928</v>
      </c>
      <c r="V752">
        <v>0</v>
      </c>
      <c r="W752">
        <v>0</v>
      </c>
      <c r="X752">
        <v>2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1</v>
      </c>
      <c r="AI752" t="s">
        <v>474</v>
      </c>
      <c r="AJ752">
        <v>35.800452</v>
      </c>
      <c r="AK752" t="s">
        <v>485</v>
      </c>
      <c r="AL752">
        <v>-83.945438999999993</v>
      </c>
      <c r="AM752">
        <v>25</v>
      </c>
      <c r="AN752">
        <v>1600</v>
      </c>
      <c r="AO752" t="s">
        <v>118</v>
      </c>
      <c r="AP752">
        <v>-108</v>
      </c>
      <c r="AQ752">
        <v>17</v>
      </c>
      <c r="AR752">
        <v>-128</v>
      </c>
      <c r="AZ752">
        <v>300</v>
      </c>
      <c r="BA752">
        <v>1</v>
      </c>
      <c r="BB752" t="str">
        <f t="shared" si="35"/>
        <v xml:space="preserve">N162AM  </v>
      </c>
      <c r="BC752">
        <v>1</v>
      </c>
      <c r="BE752">
        <v>0</v>
      </c>
      <c r="BF752">
        <v>0</v>
      </c>
      <c r="BG752">
        <v>0</v>
      </c>
      <c r="BH752">
        <v>1850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>"14:45:52.985"</f>
        <v>14:45:52.985</v>
      </c>
      <c r="CJ752">
        <v>3</v>
      </c>
      <c r="CK752">
        <v>2</v>
      </c>
      <c r="CL752">
        <v>0</v>
      </c>
      <c r="CM752">
        <v>2</v>
      </c>
      <c r="CN752">
        <v>0</v>
      </c>
      <c r="CO752">
        <v>7</v>
      </c>
      <c r="CP752" t="s">
        <v>119</v>
      </c>
      <c r="CQ752">
        <v>232</v>
      </c>
      <c r="CR752">
        <v>1</v>
      </c>
      <c r="CW752">
        <v>15124191</v>
      </c>
      <c r="CY752">
        <v>1</v>
      </c>
      <c r="CZ752">
        <v>0</v>
      </c>
      <c r="DA752">
        <v>1</v>
      </c>
      <c r="DB752">
        <v>0</v>
      </c>
      <c r="DC752">
        <v>0</v>
      </c>
      <c r="DD752">
        <v>1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"12/16/2021 14:45:54.147"</f>
        <v>12/16/2021 14:45:54.147</v>
      </c>
      <c r="C753" t="str">
        <f t="shared" si="34"/>
        <v>FFDFD3C0</v>
      </c>
      <c r="D753" t="s">
        <v>133</v>
      </c>
      <c r="E753">
        <v>44</v>
      </c>
      <c r="H753">
        <v>131</v>
      </c>
      <c r="I753" t="s">
        <v>134</v>
      </c>
      <c r="J753" t="s">
        <v>135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"14:45:53.906"</f>
        <v>14:45:53.906</v>
      </c>
      <c r="T753" t="str">
        <f>"14:45:53.006"</f>
        <v>14:45:53.006</v>
      </c>
      <c r="U753" t="str">
        <f t="shared" si="33"/>
        <v>A0F928</v>
      </c>
      <c r="V753">
        <v>0</v>
      </c>
      <c r="W753">
        <v>0</v>
      </c>
      <c r="X753">
        <v>2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1</v>
      </c>
      <c r="AI753" t="s">
        <v>330</v>
      </c>
      <c r="AJ753">
        <v>35.800538000000003</v>
      </c>
      <c r="AK753" t="s">
        <v>486</v>
      </c>
      <c r="AL753">
        <v>-83.945997000000006</v>
      </c>
      <c r="AM753">
        <v>25</v>
      </c>
      <c r="AN753">
        <v>1600</v>
      </c>
      <c r="AO753" t="s">
        <v>118</v>
      </c>
      <c r="AP753">
        <v>-108</v>
      </c>
      <c r="AQ753">
        <v>20</v>
      </c>
      <c r="AR753">
        <v>-128</v>
      </c>
      <c r="AZ753">
        <v>300</v>
      </c>
      <c r="BA753">
        <v>1</v>
      </c>
      <c r="BB753" t="str">
        <f t="shared" si="35"/>
        <v xml:space="preserve">N162AM  </v>
      </c>
      <c r="BC753">
        <v>1</v>
      </c>
      <c r="BE753">
        <v>0</v>
      </c>
      <c r="BF753">
        <v>0</v>
      </c>
      <c r="BG753">
        <v>0</v>
      </c>
      <c r="BH753">
        <v>1850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>"14:45:53.907"</f>
        <v>14:45:53.907</v>
      </c>
      <c r="CJ753">
        <v>3</v>
      </c>
      <c r="CK753">
        <v>2</v>
      </c>
      <c r="CL753">
        <v>0</v>
      </c>
      <c r="CM753">
        <v>2</v>
      </c>
      <c r="CN753">
        <v>0</v>
      </c>
      <c r="CO753">
        <v>7</v>
      </c>
      <c r="CP753" t="s">
        <v>119</v>
      </c>
      <c r="CQ753">
        <v>232</v>
      </c>
      <c r="CR753">
        <v>1</v>
      </c>
      <c r="CW753">
        <v>15125587</v>
      </c>
      <c r="CY753">
        <v>1</v>
      </c>
      <c r="CZ753">
        <v>0</v>
      </c>
      <c r="DA753">
        <v>0</v>
      </c>
      <c r="DB753">
        <v>0</v>
      </c>
      <c r="DC753">
        <v>0</v>
      </c>
      <c r="DD753">
        <v>1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"12/16/2021 14:45:54.147"</f>
        <v>12/16/2021 14:45:54.147</v>
      </c>
      <c r="C754" t="str">
        <f t="shared" si="34"/>
        <v>FFDFD3C0</v>
      </c>
      <c r="D754" t="s">
        <v>124</v>
      </c>
      <c r="E754">
        <v>10</v>
      </c>
      <c r="F754">
        <v>1010</v>
      </c>
      <c r="G754" t="s">
        <v>130</v>
      </c>
      <c r="J754" t="s">
        <v>125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"14:45:53.906"</f>
        <v>14:45:53.906</v>
      </c>
      <c r="T754" t="str">
        <f>"14:45:53.006"</f>
        <v>14:45:53.006</v>
      </c>
      <c r="U754" t="str">
        <f t="shared" si="33"/>
        <v>A0F928</v>
      </c>
      <c r="V754">
        <v>0</v>
      </c>
      <c r="W754">
        <v>0</v>
      </c>
      <c r="X754">
        <v>2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1</v>
      </c>
      <c r="AI754" t="s">
        <v>330</v>
      </c>
      <c r="AJ754">
        <v>35.800538000000003</v>
      </c>
      <c r="AK754" t="s">
        <v>486</v>
      </c>
      <c r="AL754">
        <v>-83.945997000000006</v>
      </c>
      <c r="AM754">
        <v>25</v>
      </c>
      <c r="AN754">
        <v>1600</v>
      </c>
      <c r="AO754" t="s">
        <v>118</v>
      </c>
      <c r="AP754">
        <v>-108</v>
      </c>
      <c r="AQ754">
        <v>20</v>
      </c>
      <c r="AR754">
        <v>-128</v>
      </c>
      <c r="AZ754">
        <v>300</v>
      </c>
      <c r="BA754">
        <v>1</v>
      </c>
      <c r="BB754" t="str">
        <f t="shared" si="35"/>
        <v xml:space="preserve">N162AM  </v>
      </c>
      <c r="BC754">
        <v>1</v>
      </c>
      <c r="BE754">
        <v>0</v>
      </c>
      <c r="BF754">
        <v>0</v>
      </c>
      <c r="BG754">
        <v>0</v>
      </c>
      <c r="BH754">
        <v>1850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>"14:45:53.907"</f>
        <v>14:45:53.907</v>
      </c>
      <c r="CJ754">
        <v>3</v>
      </c>
      <c r="CK754">
        <v>2</v>
      </c>
      <c r="CL754">
        <v>0</v>
      </c>
      <c r="CM754">
        <v>2</v>
      </c>
      <c r="CN754">
        <v>0</v>
      </c>
      <c r="CO754">
        <v>7</v>
      </c>
      <c r="CP754" t="s">
        <v>119</v>
      </c>
      <c r="CQ754">
        <v>232</v>
      </c>
      <c r="CR754">
        <v>1</v>
      </c>
      <c r="CW754">
        <v>15125587</v>
      </c>
      <c r="CY754">
        <v>1</v>
      </c>
      <c r="CZ754">
        <v>0</v>
      </c>
      <c r="DA754">
        <v>1</v>
      </c>
      <c r="DB754">
        <v>0</v>
      </c>
      <c r="DC754">
        <v>0</v>
      </c>
      <c r="DD754">
        <v>1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"12/16/2021 14:45:54.147"</f>
        <v>12/16/2021 14:45:54.147</v>
      </c>
      <c r="C755" t="str">
        <f t="shared" si="34"/>
        <v>FFDFD3C0</v>
      </c>
      <c r="D755" t="s">
        <v>124</v>
      </c>
      <c r="E755">
        <v>5</v>
      </c>
      <c r="F755">
        <v>1005</v>
      </c>
      <c r="G755" t="s">
        <v>114</v>
      </c>
      <c r="J755" t="s">
        <v>125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"14:45:53.906"</f>
        <v>14:45:53.906</v>
      </c>
      <c r="T755" t="str">
        <f>"14:45:53.006"</f>
        <v>14:45:53.006</v>
      </c>
      <c r="U755" t="str">
        <f t="shared" si="33"/>
        <v>A0F928</v>
      </c>
      <c r="V755">
        <v>0</v>
      </c>
      <c r="W755">
        <v>0</v>
      </c>
      <c r="X755">
        <v>2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1</v>
      </c>
      <c r="AI755" t="s">
        <v>330</v>
      </c>
      <c r="AJ755">
        <v>35.800538000000003</v>
      </c>
      <c r="AK755" t="s">
        <v>486</v>
      </c>
      <c r="AL755">
        <v>-83.945997000000006</v>
      </c>
      <c r="AM755">
        <v>25</v>
      </c>
      <c r="AN755">
        <v>1600</v>
      </c>
      <c r="AO755" t="s">
        <v>118</v>
      </c>
      <c r="AP755">
        <v>-108</v>
      </c>
      <c r="AQ755">
        <v>20</v>
      </c>
      <c r="AR755">
        <v>-128</v>
      </c>
      <c r="AZ755">
        <v>300</v>
      </c>
      <c r="BA755">
        <v>1</v>
      </c>
      <c r="BB755" t="str">
        <f t="shared" si="35"/>
        <v xml:space="preserve">N162AM  </v>
      </c>
      <c r="BC755">
        <v>1</v>
      </c>
      <c r="BE755">
        <v>0</v>
      </c>
      <c r="BF755">
        <v>0</v>
      </c>
      <c r="BG755">
        <v>0</v>
      </c>
      <c r="BH755">
        <v>1850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>"14:45:53.907"</f>
        <v>14:45:53.907</v>
      </c>
      <c r="CJ755">
        <v>3</v>
      </c>
      <c r="CK755">
        <v>2</v>
      </c>
      <c r="CL755">
        <v>0</v>
      </c>
      <c r="CM755">
        <v>2</v>
      </c>
      <c r="CN755">
        <v>0</v>
      </c>
      <c r="CO755">
        <v>7</v>
      </c>
      <c r="CP755" t="s">
        <v>119</v>
      </c>
      <c r="CQ755">
        <v>232</v>
      </c>
      <c r="CR755">
        <v>1</v>
      </c>
      <c r="CW755">
        <v>15125587</v>
      </c>
      <c r="CY755">
        <v>1</v>
      </c>
      <c r="CZ755">
        <v>0</v>
      </c>
      <c r="DA755">
        <v>1</v>
      </c>
      <c r="DB755">
        <v>0</v>
      </c>
      <c r="DC755">
        <v>0</v>
      </c>
      <c r="DD755">
        <v>1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"12/16/2021 14:45:54.147"</f>
        <v>12/16/2021 14:45:54.147</v>
      </c>
      <c r="C756" t="str">
        <f t="shared" si="34"/>
        <v>FFDFD3C0</v>
      </c>
      <c r="D756" t="s">
        <v>113</v>
      </c>
      <c r="E756">
        <v>8</v>
      </c>
      <c r="H756">
        <v>176</v>
      </c>
      <c r="I756" t="s">
        <v>114</v>
      </c>
      <c r="J756" t="s">
        <v>115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"14:45:53.906"</f>
        <v>14:45:53.906</v>
      </c>
      <c r="T756" t="str">
        <f>"14:45:53.006"</f>
        <v>14:45:53.006</v>
      </c>
      <c r="U756" t="str">
        <f t="shared" si="33"/>
        <v>A0F928</v>
      </c>
      <c r="V756">
        <v>0</v>
      </c>
      <c r="W756">
        <v>0</v>
      </c>
      <c r="X756">
        <v>2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1</v>
      </c>
      <c r="AI756" t="s">
        <v>330</v>
      </c>
      <c r="AJ756">
        <v>35.800538000000003</v>
      </c>
      <c r="AK756" t="s">
        <v>486</v>
      </c>
      <c r="AL756">
        <v>-83.945997000000006</v>
      </c>
      <c r="AM756">
        <v>25</v>
      </c>
      <c r="AN756">
        <v>1600</v>
      </c>
      <c r="AO756" t="s">
        <v>118</v>
      </c>
      <c r="AP756">
        <v>-108</v>
      </c>
      <c r="AQ756">
        <v>20</v>
      </c>
      <c r="AR756">
        <v>-128</v>
      </c>
      <c r="AZ756">
        <v>300</v>
      </c>
      <c r="BA756">
        <v>1</v>
      </c>
      <c r="BB756" t="str">
        <f t="shared" si="35"/>
        <v xml:space="preserve">N162AM  </v>
      </c>
      <c r="BC756">
        <v>1</v>
      </c>
      <c r="BE756">
        <v>0</v>
      </c>
      <c r="BF756">
        <v>0</v>
      </c>
      <c r="BG756">
        <v>0</v>
      </c>
      <c r="BH756">
        <v>1850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>"14:45:53.907"</f>
        <v>14:45:53.907</v>
      </c>
      <c r="CJ756">
        <v>3</v>
      </c>
      <c r="CK756">
        <v>2</v>
      </c>
      <c r="CL756">
        <v>0</v>
      </c>
      <c r="CM756">
        <v>2</v>
      </c>
      <c r="CN756">
        <v>0</v>
      </c>
      <c r="CO756">
        <v>7</v>
      </c>
      <c r="CP756" t="s">
        <v>119</v>
      </c>
      <c r="CQ756">
        <v>232</v>
      </c>
      <c r="CR756">
        <v>1</v>
      </c>
      <c r="CW756">
        <v>15125587</v>
      </c>
      <c r="CY756">
        <v>1</v>
      </c>
      <c r="CZ756">
        <v>0</v>
      </c>
      <c r="DA756">
        <v>1</v>
      </c>
      <c r="DB756">
        <v>0</v>
      </c>
      <c r="DC756">
        <v>0</v>
      </c>
      <c r="DD756">
        <v>1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"12/16/2021 14:45:55.125"</f>
        <v>12/16/2021 14:45:55.125</v>
      </c>
      <c r="C757" t="str">
        <f t="shared" si="34"/>
        <v>FFDFD3C0</v>
      </c>
      <c r="D757" t="s">
        <v>133</v>
      </c>
      <c r="E757">
        <v>44</v>
      </c>
      <c r="H757">
        <v>131</v>
      </c>
      <c r="I757" t="s">
        <v>134</v>
      </c>
      <c r="J757" t="s">
        <v>135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"14:45:54.930"</f>
        <v>14:45:54.930</v>
      </c>
      <c r="T757" t="str">
        <f>"14:45:54.430"</f>
        <v>14:45:54.430</v>
      </c>
      <c r="U757" t="str">
        <f t="shared" si="33"/>
        <v>A0F928</v>
      </c>
      <c r="V757">
        <v>0</v>
      </c>
      <c r="W757">
        <v>0</v>
      </c>
      <c r="X757">
        <v>2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1</v>
      </c>
      <c r="AI757" t="s">
        <v>487</v>
      </c>
      <c r="AJ757">
        <v>35.800710000000002</v>
      </c>
      <c r="AK757" t="s">
        <v>488</v>
      </c>
      <c r="AL757">
        <v>-83.946640000000002</v>
      </c>
      <c r="AM757">
        <v>25</v>
      </c>
      <c r="AN757">
        <v>1600</v>
      </c>
      <c r="AO757" t="s">
        <v>118</v>
      </c>
      <c r="AP757">
        <v>-107</v>
      </c>
      <c r="AQ757">
        <v>29</v>
      </c>
      <c r="AR757">
        <v>-128</v>
      </c>
      <c r="AZ757">
        <v>300</v>
      </c>
      <c r="BA757">
        <v>1</v>
      </c>
      <c r="BB757" t="str">
        <f t="shared" si="35"/>
        <v xml:space="preserve">N162AM  </v>
      </c>
      <c r="BC757">
        <v>1</v>
      </c>
      <c r="BE757">
        <v>0</v>
      </c>
      <c r="BF757">
        <v>0</v>
      </c>
      <c r="BG757">
        <v>0</v>
      </c>
      <c r="BH757">
        <v>1850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>"14:45:54.936"</f>
        <v>14:45:54.936</v>
      </c>
      <c r="CJ757">
        <v>3</v>
      </c>
      <c r="CK757">
        <v>2</v>
      </c>
      <c r="CL757">
        <v>0</v>
      </c>
      <c r="CM757">
        <v>2</v>
      </c>
      <c r="CN757">
        <v>0</v>
      </c>
      <c r="CO757">
        <v>6</v>
      </c>
      <c r="CP757" t="s">
        <v>119</v>
      </c>
      <c r="CQ757">
        <v>232</v>
      </c>
      <c r="CR757">
        <v>1</v>
      </c>
      <c r="CW757">
        <v>15127160</v>
      </c>
      <c r="CY757">
        <v>1</v>
      </c>
      <c r="CZ757">
        <v>0</v>
      </c>
      <c r="DA757">
        <v>0</v>
      </c>
      <c r="DB757">
        <v>0</v>
      </c>
      <c r="DC757">
        <v>0</v>
      </c>
      <c r="DD757">
        <v>1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"12/16/2021 14:45:55.133"</f>
        <v>12/16/2021 14:45:55.133</v>
      </c>
      <c r="C758" t="str">
        <f t="shared" si="34"/>
        <v>FFDFD3C0</v>
      </c>
      <c r="D758" t="s">
        <v>124</v>
      </c>
      <c r="E758">
        <v>5</v>
      </c>
      <c r="F758">
        <v>1005</v>
      </c>
      <c r="G758" t="s">
        <v>114</v>
      </c>
      <c r="J758" t="s">
        <v>125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"14:45:54.930"</f>
        <v>14:45:54.930</v>
      </c>
      <c r="T758" t="str">
        <f>"14:45:54.430"</f>
        <v>14:45:54.430</v>
      </c>
      <c r="U758" t="str">
        <f t="shared" si="33"/>
        <v>A0F928</v>
      </c>
      <c r="V758">
        <v>0</v>
      </c>
      <c r="W758">
        <v>0</v>
      </c>
      <c r="X758">
        <v>2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1</v>
      </c>
      <c r="AI758" t="s">
        <v>487</v>
      </c>
      <c r="AJ758">
        <v>35.800710000000002</v>
      </c>
      <c r="AK758" t="s">
        <v>488</v>
      </c>
      <c r="AL758">
        <v>-83.946640000000002</v>
      </c>
      <c r="AM758">
        <v>25</v>
      </c>
      <c r="AN758">
        <v>1600</v>
      </c>
      <c r="AO758" t="s">
        <v>118</v>
      </c>
      <c r="AP758">
        <v>-107</v>
      </c>
      <c r="AQ758">
        <v>29</v>
      </c>
      <c r="AR758">
        <v>-128</v>
      </c>
      <c r="AZ758">
        <v>300</v>
      </c>
      <c r="BA758">
        <v>1</v>
      </c>
      <c r="BB758" t="str">
        <f t="shared" si="35"/>
        <v xml:space="preserve">N162AM  </v>
      </c>
      <c r="BC758">
        <v>1</v>
      </c>
      <c r="BE758">
        <v>0</v>
      </c>
      <c r="BF758">
        <v>0</v>
      </c>
      <c r="BG758">
        <v>0</v>
      </c>
      <c r="BH758">
        <v>1850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>"14:45:54.936"</f>
        <v>14:45:54.936</v>
      </c>
      <c r="CJ758">
        <v>3</v>
      </c>
      <c r="CK758">
        <v>2</v>
      </c>
      <c r="CL758">
        <v>0</v>
      </c>
      <c r="CM758">
        <v>2</v>
      </c>
      <c r="CN758">
        <v>0</v>
      </c>
      <c r="CO758">
        <v>6</v>
      </c>
      <c r="CP758" t="s">
        <v>119</v>
      </c>
      <c r="CQ758">
        <v>232</v>
      </c>
      <c r="CR758">
        <v>1</v>
      </c>
      <c r="CW758">
        <v>15127160</v>
      </c>
      <c r="CY758">
        <v>1</v>
      </c>
      <c r="CZ758">
        <v>0</v>
      </c>
      <c r="DA758">
        <v>1</v>
      </c>
      <c r="DB758">
        <v>0</v>
      </c>
      <c r="DC758">
        <v>0</v>
      </c>
      <c r="DD758">
        <v>1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"12/16/2021 14:45:55.170"</f>
        <v>12/16/2021 14:45:55.170</v>
      </c>
      <c r="C759" t="str">
        <f t="shared" si="34"/>
        <v>FFDFD3C0</v>
      </c>
      <c r="D759" t="s">
        <v>113</v>
      </c>
      <c r="E759">
        <v>8</v>
      </c>
      <c r="H759">
        <v>176</v>
      </c>
      <c r="I759" t="s">
        <v>114</v>
      </c>
      <c r="J759" t="s">
        <v>115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"14:45:54.930"</f>
        <v>14:45:54.930</v>
      </c>
      <c r="T759" t="str">
        <f>"14:45:54.430"</f>
        <v>14:45:54.430</v>
      </c>
      <c r="U759" t="str">
        <f t="shared" si="33"/>
        <v>A0F928</v>
      </c>
      <c r="V759">
        <v>0</v>
      </c>
      <c r="W759">
        <v>0</v>
      </c>
      <c r="X759">
        <v>2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1</v>
      </c>
      <c r="AI759" t="s">
        <v>487</v>
      </c>
      <c r="AJ759">
        <v>35.800710000000002</v>
      </c>
      <c r="AK759" t="s">
        <v>488</v>
      </c>
      <c r="AL759">
        <v>-83.946640000000002</v>
      </c>
      <c r="AM759">
        <v>25</v>
      </c>
      <c r="AN759">
        <v>1600</v>
      </c>
      <c r="AO759" t="s">
        <v>118</v>
      </c>
      <c r="AP759">
        <v>-107</v>
      </c>
      <c r="AQ759">
        <v>29</v>
      </c>
      <c r="AR759">
        <v>-128</v>
      </c>
      <c r="AZ759">
        <v>300</v>
      </c>
      <c r="BA759">
        <v>1</v>
      </c>
      <c r="BB759" t="str">
        <f t="shared" si="35"/>
        <v xml:space="preserve">N162AM  </v>
      </c>
      <c r="BC759">
        <v>1</v>
      </c>
      <c r="BE759">
        <v>0</v>
      </c>
      <c r="BF759">
        <v>0</v>
      </c>
      <c r="BG759">
        <v>0</v>
      </c>
      <c r="BH759">
        <v>1850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>"14:45:54.936"</f>
        <v>14:45:54.936</v>
      </c>
      <c r="CJ759">
        <v>3</v>
      </c>
      <c r="CK759">
        <v>2</v>
      </c>
      <c r="CL759">
        <v>0</v>
      </c>
      <c r="CM759">
        <v>2</v>
      </c>
      <c r="CN759">
        <v>0</v>
      </c>
      <c r="CO759">
        <v>6</v>
      </c>
      <c r="CP759" t="s">
        <v>119</v>
      </c>
      <c r="CQ759">
        <v>232</v>
      </c>
      <c r="CR759">
        <v>1</v>
      </c>
      <c r="CW759">
        <v>15127160</v>
      </c>
      <c r="CY759">
        <v>1</v>
      </c>
      <c r="CZ759">
        <v>0</v>
      </c>
      <c r="DA759">
        <v>1</v>
      </c>
      <c r="DB759">
        <v>0</v>
      </c>
      <c r="DC759">
        <v>0</v>
      </c>
      <c r="DD759">
        <v>1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"12/16/2021 14:45:55.186"</f>
        <v>12/16/2021 14:45:55.186</v>
      </c>
      <c r="C760" t="str">
        <f t="shared" si="34"/>
        <v>FFDFD3C0</v>
      </c>
      <c r="D760" t="s">
        <v>124</v>
      </c>
      <c r="E760">
        <v>10</v>
      </c>
      <c r="F760">
        <v>1010</v>
      </c>
      <c r="G760" t="s">
        <v>130</v>
      </c>
      <c r="J760" t="s">
        <v>125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"14:45:54.930"</f>
        <v>14:45:54.930</v>
      </c>
      <c r="T760" t="str">
        <f>"14:45:54.430"</f>
        <v>14:45:54.430</v>
      </c>
      <c r="U760" t="str">
        <f t="shared" si="33"/>
        <v>A0F928</v>
      </c>
      <c r="V760">
        <v>0</v>
      </c>
      <c r="W760">
        <v>0</v>
      </c>
      <c r="X760">
        <v>2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1</v>
      </c>
      <c r="AI760" t="s">
        <v>487</v>
      </c>
      <c r="AJ760">
        <v>35.800710000000002</v>
      </c>
      <c r="AK760" t="s">
        <v>488</v>
      </c>
      <c r="AL760">
        <v>-83.946640000000002</v>
      </c>
      <c r="AM760">
        <v>25</v>
      </c>
      <c r="AN760">
        <v>1600</v>
      </c>
      <c r="AO760" t="s">
        <v>118</v>
      </c>
      <c r="AP760">
        <v>-107</v>
      </c>
      <c r="AQ760">
        <v>29</v>
      </c>
      <c r="AR760">
        <v>-128</v>
      </c>
      <c r="AZ760">
        <v>300</v>
      </c>
      <c r="BA760">
        <v>1</v>
      </c>
      <c r="BB760" t="str">
        <f t="shared" si="35"/>
        <v xml:space="preserve">N162AM  </v>
      </c>
      <c r="BC760">
        <v>1</v>
      </c>
      <c r="BE760">
        <v>0</v>
      </c>
      <c r="BF760">
        <v>0</v>
      </c>
      <c r="BG760">
        <v>0</v>
      </c>
      <c r="BH760">
        <v>1850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>"14:45:54.936"</f>
        <v>14:45:54.936</v>
      </c>
      <c r="CJ760">
        <v>3</v>
      </c>
      <c r="CK760">
        <v>2</v>
      </c>
      <c r="CL760">
        <v>0</v>
      </c>
      <c r="CM760">
        <v>2</v>
      </c>
      <c r="CN760">
        <v>0</v>
      </c>
      <c r="CO760">
        <v>6</v>
      </c>
      <c r="CP760" t="s">
        <v>119</v>
      </c>
      <c r="CQ760">
        <v>232</v>
      </c>
      <c r="CR760">
        <v>1</v>
      </c>
      <c r="CW760">
        <v>15127160</v>
      </c>
      <c r="CY760">
        <v>1</v>
      </c>
      <c r="CZ760">
        <v>0</v>
      </c>
      <c r="DA760">
        <v>1</v>
      </c>
      <c r="DB760">
        <v>0</v>
      </c>
      <c r="DC760">
        <v>0</v>
      </c>
      <c r="DD760">
        <v>1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"12/16/2021 14:45:56.279"</f>
        <v>12/16/2021 14:45:56.279</v>
      </c>
      <c r="C761" t="str">
        <f t="shared" si="34"/>
        <v>FFDFD3C0</v>
      </c>
      <c r="D761" t="s">
        <v>124</v>
      </c>
      <c r="E761">
        <v>10</v>
      </c>
      <c r="F761">
        <v>1010</v>
      </c>
      <c r="G761" t="s">
        <v>130</v>
      </c>
      <c r="J761" t="s">
        <v>125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"14:45:56.016"</f>
        <v>14:45:56.016</v>
      </c>
      <c r="T761" t="str">
        <f>"14:45:55.516"</f>
        <v>14:45:55.516</v>
      </c>
      <c r="U761" t="str">
        <f t="shared" si="33"/>
        <v>A0F928</v>
      </c>
      <c r="V761">
        <v>0</v>
      </c>
      <c r="W761">
        <v>0</v>
      </c>
      <c r="X761">
        <v>2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1</v>
      </c>
      <c r="AI761" t="s">
        <v>489</v>
      </c>
      <c r="AJ761">
        <v>35.800880999999997</v>
      </c>
      <c r="AK761" t="s">
        <v>391</v>
      </c>
      <c r="AL761">
        <v>-83.947283999999996</v>
      </c>
      <c r="AM761">
        <v>25</v>
      </c>
      <c r="AN761">
        <v>1575</v>
      </c>
      <c r="AO761" t="s">
        <v>118</v>
      </c>
      <c r="AP761">
        <v>-106</v>
      </c>
      <c r="AQ761">
        <v>38</v>
      </c>
      <c r="AR761">
        <v>-128</v>
      </c>
      <c r="AZ761">
        <v>300</v>
      </c>
      <c r="BA761">
        <v>1</v>
      </c>
      <c r="BB761" t="str">
        <f t="shared" si="35"/>
        <v xml:space="preserve">N162AM  </v>
      </c>
      <c r="BC761">
        <v>1</v>
      </c>
      <c r="BE761">
        <v>0</v>
      </c>
      <c r="BF761">
        <v>0</v>
      </c>
      <c r="BG761">
        <v>0</v>
      </c>
      <c r="BH761">
        <v>1850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>"14:45:56.017"</f>
        <v>14:45:56.017</v>
      </c>
      <c r="CJ761">
        <v>3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119</v>
      </c>
      <c r="CQ761">
        <v>232</v>
      </c>
      <c r="CR761">
        <v>1</v>
      </c>
      <c r="CW761">
        <v>15128893</v>
      </c>
      <c r="CY761">
        <v>1</v>
      </c>
      <c r="CZ761">
        <v>0</v>
      </c>
      <c r="DA761">
        <v>0</v>
      </c>
      <c r="DB761">
        <v>0</v>
      </c>
      <c r="DC761">
        <v>0</v>
      </c>
      <c r="DD761">
        <v>1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"12/16/2021 14:45:56.279"</f>
        <v>12/16/2021 14:45:56.279</v>
      </c>
      <c r="C762" t="str">
        <f t="shared" si="34"/>
        <v>FFDFD3C0</v>
      </c>
      <c r="D762" t="s">
        <v>133</v>
      </c>
      <c r="E762">
        <v>44</v>
      </c>
      <c r="H762">
        <v>131</v>
      </c>
      <c r="I762" t="s">
        <v>134</v>
      </c>
      <c r="J762" t="s">
        <v>135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"14:45:56.016"</f>
        <v>14:45:56.016</v>
      </c>
      <c r="T762" t="str">
        <f>"14:45:55.516"</f>
        <v>14:45:55.516</v>
      </c>
      <c r="U762" t="str">
        <f t="shared" si="33"/>
        <v>A0F928</v>
      </c>
      <c r="V762">
        <v>0</v>
      </c>
      <c r="W762">
        <v>0</v>
      </c>
      <c r="X762">
        <v>2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1</v>
      </c>
      <c r="AI762" t="s">
        <v>489</v>
      </c>
      <c r="AJ762">
        <v>35.800880999999997</v>
      </c>
      <c r="AK762" t="s">
        <v>391</v>
      </c>
      <c r="AL762">
        <v>-83.947283999999996</v>
      </c>
      <c r="AM762">
        <v>25</v>
      </c>
      <c r="AN762">
        <v>1575</v>
      </c>
      <c r="AO762" t="s">
        <v>118</v>
      </c>
      <c r="AP762">
        <v>-106</v>
      </c>
      <c r="AQ762">
        <v>38</v>
      </c>
      <c r="AR762">
        <v>-128</v>
      </c>
      <c r="AZ762">
        <v>300</v>
      </c>
      <c r="BA762">
        <v>1</v>
      </c>
      <c r="BB762" t="str">
        <f t="shared" si="35"/>
        <v xml:space="preserve">N162AM  </v>
      </c>
      <c r="BC762">
        <v>1</v>
      </c>
      <c r="BE762">
        <v>0</v>
      </c>
      <c r="BF762">
        <v>0</v>
      </c>
      <c r="BG762">
        <v>0</v>
      </c>
      <c r="BH762">
        <v>1850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>"14:45:56.017"</f>
        <v>14:45:56.017</v>
      </c>
      <c r="CJ762">
        <v>3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232</v>
      </c>
      <c r="CR762">
        <v>1</v>
      </c>
      <c r="CW762">
        <v>15128893</v>
      </c>
      <c r="CY762">
        <v>1</v>
      </c>
      <c r="CZ762">
        <v>0</v>
      </c>
      <c r="DA762">
        <v>1</v>
      </c>
      <c r="DB762">
        <v>0</v>
      </c>
      <c r="DC762">
        <v>0</v>
      </c>
      <c r="DD762">
        <v>1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"12/16/2021 14:45:56.279"</f>
        <v>12/16/2021 14:45:56.279</v>
      </c>
      <c r="C763" t="str">
        <f t="shared" si="34"/>
        <v>FFDFD3C0</v>
      </c>
      <c r="D763" t="s">
        <v>124</v>
      </c>
      <c r="E763">
        <v>5</v>
      </c>
      <c r="F763">
        <v>1005</v>
      </c>
      <c r="G763" t="s">
        <v>114</v>
      </c>
      <c r="J763" t="s">
        <v>125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"14:45:56.016"</f>
        <v>14:45:56.016</v>
      </c>
      <c r="T763" t="str">
        <f>"14:45:55.516"</f>
        <v>14:45:55.516</v>
      </c>
      <c r="U763" t="str">
        <f t="shared" si="33"/>
        <v>A0F928</v>
      </c>
      <c r="V763">
        <v>0</v>
      </c>
      <c r="W763">
        <v>0</v>
      </c>
      <c r="X763">
        <v>2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1</v>
      </c>
      <c r="AI763" t="s">
        <v>489</v>
      </c>
      <c r="AJ763">
        <v>35.800880999999997</v>
      </c>
      <c r="AK763" t="s">
        <v>391</v>
      </c>
      <c r="AL763">
        <v>-83.947283999999996</v>
      </c>
      <c r="AM763">
        <v>25</v>
      </c>
      <c r="AN763">
        <v>1575</v>
      </c>
      <c r="AO763" t="s">
        <v>118</v>
      </c>
      <c r="AP763">
        <v>-106</v>
      </c>
      <c r="AQ763">
        <v>38</v>
      </c>
      <c r="AR763">
        <v>-128</v>
      </c>
      <c r="AZ763">
        <v>300</v>
      </c>
      <c r="BA763">
        <v>1</v>
      </c>
      <c r="BB763" t="str">
        <f t="shared" si="35"/>
        <v xml:space="preserve">N162AM  </v>
      </c>
      <c r="BC763">
        <v>1</v>
      </c>
      <c r="BE763">
        <v>0</v>
      </c>
      <c r="BF763">
        <v>0</v>
      </c>
      <c r="BG763">
        <v>0</v>
      </c>
      <c r="BH763">
        <v>1850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>"14:45:56.017"</f>
        <v>14:45:56.017</v>
      </c>
      <c r="CJ763">
        <v>3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232</v>
      </c>
      <c r="CR763">
        <v>1</v>
      </c>
      <c r="CW763">
        <v>15128893</v>
      </c>
      <c r="CY763">
        <v>1</v>
      </c>
      <c r="CZ763">
        <v>0</v>
      </c>
      <c r="DA763">
        <v>1</v>
      </c>
      <c r="DB763">
        <v>0</v>
      </c>
      <c r="DC763">
        <v>0</v>
      </c>
      <c r="DD763">
        <v>1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"12/16/2021 14:45:56.279"</f>
        <v>12/16/2021 14:45:56.279</v>
      </c>
      <c r="C764" t="str">
        <f t="shared" si="34"/>
        <v>FFDFD3C0</v>
      </c>
      <c r="D764" t="s">
        <v>113</v>
      </c>
      <c r="E764">
        <v>8</v>
      </c>
      <c r="H764">
        <v>176</v>
      </c>
      <c r="I764" t="s">
        <v>114</v>
      </c>
      <c r="J764" t="s">
        <v>115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"14:45:56.016"</f>
        <v>14:45:56.016</v>
      </c>
      <c r="T764" t="str">
        <f>"14:45:55.516"</f>
        <v>14:45:55.516</v>
      </c>
      <c r="U764" t="str">
        <f t="shared" si="33"/>
        <v>A0F928</v>
      </c>
      <c r="V764">
        <v>0</v>
      </c>
      <c r="W764">
        <v>0</v>
      </c>
      <c r="X764">
        <v>2</v>
      </c>
      <c r="Z764">
        <v>0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1</v>
      </c>
      <c r="AI764" t="s">
        <v>489</v>
      </c>
      <c r="AJ764">
        <v>35.800880999999997</v>
      </c>
      <c r="AK764" t="s">
        <v>391</v>
      </c>
      <c r="AL764">
        <v>-83.947283999999996</v>
      </c>
      <c r="AM764">
        <v>25</v>
      </c>
      <c r="AN764">
        <v>1575</v>
      </c>
      <c r="AO764" t="s">
        <v>118</v>
      </c>
      <c r="AP764">
        <v>-106</v>
      </c>
      <c r="AQ764">
        <v>38</v>
      </c>
      <c r="AR764">
        <v>-128</v>
      </c>
      <c r="AZ764">
        <v>300</v>
      </c>
      <c r="BA764">
        <v>1</v>
      </c>
      <c r="BB764" t="str">
        <f t="shared" si="35"/>
        <v xml:space="preserve">N162AM  </v>
      </c>
      <c r="BC764">
        <v>1</v>
      </c>
      <c r="BE764">
        <v>0</v>
      </c>
      <c r="BF764">
        <v>0</v>
      </c>
      <c r="BG764">
        <v>0</v>
      </c>
      <c r="BH764">
        <v>1850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>"14:45:56.017"</f>
        <v>14:45:56.017</v>
      </c>
      <c r="CJ764">
        <v>3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232</v>
      </c>
      <c r="CR764">
        <v>1</v>
      </c>
      <c r="CW764">
        <v>15128893</v>
      </c>
      <c r="CY764">
        <v>1</v>
      </c>
      <c r="CZ764">
        <v>0</v>
      </c>
      <c r="DA764">
        <v>1</v>
      </c>
      <c r="DB764">
        <v>0</v>
      </c>
      <c r="DC764">
        <v>0</v>
      </c>
      <c r="DD764">
        <v>1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"12/16/2021 14:45:57.170"</f>
        <v>12/16/2021 14:45:57.170</v>
      </c>
      <c r="C765" t="str">
        <f t="shared" si="34"/>
        <v>FFDFD3C0</v>
      </c>
      <c r="D765" t="s">
        <v>113</v>
      </c>
      <c r="E765">
        <v>8</v>
      </c>
      <c r="H765">
        <v>176</v>
      </c>
      <c r="I765" t="s">
        <v>114</v>
      </c>
      <c r="J765" t="s">
        <v>115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"14:45:56.992"</f>
        <v>14:45:56.992</v>
      </c>
      <c r="T765" t="str">
        <f>"14:45:56.592"</f>
        <v>14:45:56.592</v>
      </c>
      <c r="U765" t="str">
        <f t="shared" si="33"/>
        <v>A0F928</v>
      </c>
      <c r="V765">
        <v>0</v>
      </c>
      <c r="W765">
        <v>0</v>
      </c>
      <c r="X765">
        <v>2</v>
      </c>
      <c r="Z765">
        <v>0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1</v>
      </c>
      <c r="AI765" t="s">
        <v>332</v>
      </c>
      <c r="AJ765">
        <v>35.801096000000001</v>
      </c>
      <c r="AK765" t="s">
        <v>490</v>
      </c>
      <c r="AL765">
        <v>-83.947906000000003</v>
      </c>
      <c r="AM765">
        <v>25</v>
      </c>
      <c r="AN765">
        <v>1575</v>
      </c>
      <c r="AO765" t="s">
        <v>118</v>
      </c>
      <c r="AP765">
        <v>-105</v>
      </c>
      <c r="AQ765">
        <v>45</v>
      </c>
      <c r="AR765">
        <v>-128</v>
      </c>
      <c r="AZ765">
        <v>300</v>
      </c>
      <c r="BA765">
        <v>1</v>
      </c>
      <c r="BB765" t="str">
        <f t="shared" si="35"/>
        <v xml:space="preserve">N162AM  </v>
      </c>
      <c r="BC765">
        <v>1</v>
      </c>
      <c r="BE765">
        <v>0</v>
      </c>
      <c r="BF765">
        <v>0</v>
      </c>
      <c r="BG765">
        <v>0</v>
      </c>
      <c r="BH765">
        <v>1825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>"14:45:56.996"</f>
        <v>14:45:56.996</v>
      </c>
      <c r="CJ765">
        <v>3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119</v>
      </c>
      <c r="CQ765">
        <v>232</v>
      </c>
      <c r="CR765">
        <v>1</v>
      </c>
      <c r="CW765">
        <v>15130489</v>
      </c>
      <c r="CY765">
        <v>1</v>
      </c>
      <c r="CZ765">
        <v>0</v>
      </c>
      <c r="DA765">
        <v>0</v>
      </c>
      <c r="DB765">
        <v>0</v>
      </c>
      <c r="DC765">
        <v>0</v>
      </c>
      <c r="DD765">
        <v>1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"12/16/2021 14:45:57.186"</f>
        <v>12/16/2021 14:45:57.186</v>
      </c>
      <c r="C766" t="str">
        <f t="shared" si="34"/>
        <v>FFDFD3C0</v>
      </c>
      <c r="D766" t="s">
        <v>124</v>
      </c>
      <c r="E766">
        <v>10</v>
      </c>
      <c r="F766">
        <v>1010</v>
      </c>
      <c r="G766" t="s">
        <v>130</v>
      </c>
      <c r="J766" t="s">
        <v>125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"14:45:56.992"</f>
        <v>14:45:56.992</v>
      </c>
      <c r="T766" t="str">
        <f>"14:45:56.592"</f>
        <v>14:45:56.592</v>
      </c>
      <c r="U766" t="str">
        <f t="shared" si="33"/>
        <v>A0F928</v>
      </c>
      <c r="V766">
        <v>0</v>
      </c>
      <c r="W766">
        <v>0</v>
      </c>
      <c r="X766">
        <v>2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1</v>
      </c>
      <c r="AI766" t="s">
        <v>332</v>
      </c>
      <c r="AJ766">
        <v>35.801096000000001</v>
      </c>
      <c r="AK766" t="s">
        <v>490</v>
      </c>
      <c r="AL766">
        <v>-83.947906000000003</v>
      </c>
      <c r="AM766">
        <v>25</v>
      </c>
      <c r="AN766">
        <v>1575</v>
      </c>
      <c r="AO766" t="s">
        <v>118</v>
      </c>
      <c r="AP766">
        <v>-105</v>
      </c>
      <c r="AQ766">
        <v>45</v>
      </c>
      <c r="AR766">
        <v>-128</v>
      </c>
      <c r="AZ766">
        <v>300</v>
      </c>
      <c r="BA766">
        <v>1</v>
      </c>
      <c r="BB766" t="str">
        <f t="shared" si="35"/>
        <v xml:space="preserve">N162AM  </v>
      </c>
      <c r="BC766">
        <v>1</v>
      </c>
      <c r="BE766">
        <v>0</v>
      </c>
      <c r="BF766">
        <v>0</v>
      </c>
      <c r="BG766">
        <v>0</v>
      </c>
      <c r="BH766">
        <v>1825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>"14:45:56.996"</f>
        <v>14:45:56.996</v>
      </c>
      <c r="CJ766">
        <v>3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232</v>
      </c>
      <c r="CR766">
        <v>1</v>
      </c>
      <c r="CW766">
        <v>15130489</v>
      </c>
      <c r="CY766">
        <v>1</v>
      </c>
      <c r="CZ766">
        <v>0</v>
      </c>
      <c r="DA766">
        <v>1</v>
      </c>
      <c r="DB766">
        <v>0</v>
      </c>
      <c r="DC766">
        <v>0</v>
      </c>
      <c r="DD766">
        <v>1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"12/16/2021 14:45:57.233"</f>
        <v>12/16/2021 14:45:57.233</v>
      </c>
      <c r="C767" t="str">
        <f t="shared" si="34"/>
        <v>FFDFD3C0</v>
      </c>
      <c r="D767" t="s">
        <v>124</v>
      </c>
      <c r="E767">
        <v>5</v>
      </c>
      <c r="F767">
        <v>1005</v>
      </c>
      <c r="G767" t="s">
        <v>114</v>
      </c>
      <c r="J767" t="s">
        <v>125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"14:45:56.992"</f>
        <v>14:45:56.992</v>
      </c>
      <c r="T767" t="str">
        <f>"14:45:56.592"</f>
        <v>14:45:56.592</v>
      </c>
      <c r="U767" t="str">
        <f t="shared" si="33"/>
        <v>A0F928</v>
      </c>
      <c r="V767">
        <v>0</v>
      </c>
      <c r="W767">
        <v>0</v>
      </c>
      <c r="X767">
        <v>2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1</v>
      </c>
      <c r="AI767" t="s">
        <v>332</v>
      </c>
      <c r="AJ767">
        <v>35.801096000000001</v>
      </c>
      <c r="AK767" t="s">
        <v>490</v>
      </c>
      <c r="AL767">
        <v>-83.947906000000003</v>
      </c>
      <c r="AM767">
        <v>25</v>
      </c>
      <c r="AN767">
        <v>1575</v>
      </c>
      <c r="AO767" t="s">
        <v>118</v>
      </c>
      <c r="AP767">
        <v>-105</v>
      </c>
      <c r="AQ767">
        <v>45</v>
      </c>
      <c r="AR767">
        <v>-128</v>
      </c>
      <c r="AZ767">
        <v>300</v>
      </c>
      <c r="BA767">
        <v>1</v>
      </c>
      <c r="BB767" t="str">
        <f t="shared" si="35"/>
        <v xml:space="preserve">N162AM  </v>
      </c>
      <c r="BC767">
        <v>1</v>
      </c>
      <c r="BE767">
        <v>0</v>
      </c>
      <c r="BF767">
        <v>0</v>
      </c>
      <c r="BG767">
        <v>0</v>
      </c>
      <c r="BH767">
        <v>1825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>"14:45:56.996"</f>
        <v>14:45:56.996</v>
      </c>
      <c r="CJ767">
        <v>3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232</v>
      </c>
      <c r="CR767">
        <v>1</v>
      </c>
      <c r="CW767">
        <v>15130489</v>
      </c>
      <c r="CY767">
        <v>1</v>
      </c>
      <c r="CZ767">
        <v>0</v>
      </c>
      <c r="DA767">
        <v>1</v>
      </c>
      <c r="DB767">
        <v>0</v>
      </c>
      <c r="DC767">
        <v>0</v>
      </c>
      <c r="DD767">
        <v>1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"12/16/2021 14:45:57.233"</f>
        <v>12/16/2021 14:45:57.233</v>
      </c>
      <c r="C768" t="str">
        <f t="shared" si="34"/>
        <v>FFDFD3C0</v>
      </c>
      <c r="D768" t="s">
        <v>133</v>
      </c>
      <c r="E768">
        <v>44</v>
      </c>
      <c r="H768">
        <v>131</v>
      </c>
      <c r="I768" t="s">
        <v>134</v>
      </c>
      <c r="J768" t="s">
        <v>135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"14:45:56.992"</f>
        <v>14:45:56.992</v>
      </c>
      <c r="T768" t="str">
        <f>"14:45:56.592"</f>
        <v>14:45:56.592</v>
      </c>
      <c r="U768" t="str">
        <f t="shared" si="33"/>
        <v>A0F928</v>
      </c>
      <c r="V768">
        <v>0</v>
      </c>
      <c r="W768">
        <v>0</v>
      </c>
      <c r="X768">
        <v>2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1</v>
      </c>
      <c r="AI768" t="s">
        <v>332</v>
      </c>
      <c r="AJ768">
        <v>35.801096000000001</v>
      </c>
      <c r="AK768" t="s">
        <v>490</v>
      </c>
      <c r="AL768">
        <v>-83.947906000000003</v>
      </c>
      <c r="AM768">
        <v>25</v>
      </c>
      <c r="AN768">
        <v>1575</v>
      </c>
      <c r="AO768" t="s">
        <v>118</v>
      </c>
      <c r="AP768">
        <v>-105</v>
      </c>
      <c r="AQ768">
        <v>45</v>
      </c>
      <c r="AR768">
        <v>-128</v>
      </c>
      <c r="AZ768">
        <v>300</v>
      </c>
      <c r="BA768">
        <v>1</v>
      </c>
      <c r="BB768" t="str">
        <f t="shared" si="35"/>
        <v xml:space="preserve">N162AM  </v>
      </c>
      <c r="BC768">
        <v>1</v>
      </c>
      <c r="BE768">
        <v>0</v>
      </c>
      <c r="BF768">
        <v>0</v>
      </c>
      <c r="BG768">
        <v>0</v>
      </c>
      <c r="BH768">
        <v>1825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>"14:45:56.996"</f>
        <v>14:45:56.996</v>
      </c>
      <c r="CJ768">
        <v>3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232</v>
      </c>
      <c r="CR768">
        <v>1</v>
      </c>
      <c r="CW768">
        <v>15130489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1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"12/16/2021 14:45:58.264"</f>
        <v>12/16/2021 14:45:58.264</v>
      </c>
      <c r="C769" t="str">
        <f t="shared" si="34"/>
        <v>FFDFD3C0</v>
      </c>
      <c r="D769" t="s">
        <v>113</v>
      </c>
      <c r="E769">
        <v>8</v>
      </c>
      <c r="H769">
        <v>176</v>
      </c>
      <c r="I769" t="s">
        <v>114</v>
      </c>
      <c r="J769" t="s">
        <v>115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"14:45:58.102"</f>
        <v>14:45:58.102</v>
      </c>
      <c r="T769" t="str">
        <f>"14:45:57.602"</f>
        <v>14:45:57.602</v>
      </c>
      <c r="U769" t="str">
        <f t="shared" si="33"/>
        <v>A0F928</v>
      </c>
      <c r="V769">
        <v>0</v>
      </c>
      <c r="W769">
        <v>0</v>
      </c>
      <c r="X769">
        <v>2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1</v>
      </c>
      <c r="AI769" t="s">
        <v>491</v>
      </c>
      <c r="AJ769">
        <v>35.801375</v>
      </c>
      <c r="AK769" t="s">
        <v>492</v>
      </c>
      <c r="AL769">
        <v>-83.948528999999994</v>
      </c>
      <c r="AM769">
        <v>25</v>
      </c>
      <c r="AN769">
        <v>1575</v>
      </c>
      <c r="AO769" t="s">
        <v>118</v>
      </c>
      <c r="AP769">
        <v>-103</v>
      </c>
      <c r="AQ769">
        <v>51</v>
      </c>
      <c r="AR769">
        <v>-128</v>
      </c>
      <c r="AZ769">
        <v>300</v>
      </c>
      <c r="BA769">
        <v>1</v>
      </c>
      <c r="BB769" t="str">
        <f t="shared" si="35"/>
        <v xml:space="preserve">N162AM  </v>
      </c>
      <c r="BC769">
        <v>1</v>
      </c>
      <c r="BE769">
        <v>0</v>
      </c>
      <c r="BF769">
        <v>0</v>
      </c>
      <c r="BG769">
        <v>0</v>
      </c>
      <c r="BH769">
        <v>1825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>"14:45:58.103"</f>
        <v>14:45:58.103</v>
      </c>
      <c r="CJ769">
        <v>3</v>
      </c>
      <c r="CK769">
        <v>2</v>
      </c>
      <c r="CL769">
        <v>0</v>
      </c>
      <c r="CM769">
        <v>2</v>
      </c>
      <c r="CN769">
        <v>0</v>
      </c>
      <c r="CO769">
        <v>6</v>
      </c>
      <c r="CP769" t="s">
        <v>119</v>
      </c>
      <c r="CQ769">
        <v>232</v>
      </c>
      <c r="CR769">
        <v>1</v>
      </c>
      <c r="CW769">
        <v>15132076</v>
      </c>
      <c r="CY769">
        <v>1</v>
      </c>
      <c r="CZ769">
        <v>0</v>
      </c>
      <c r="DA769">
        <v>0</v>
      </c>
      <c r="DB769">
        <v>0</v>
      </c>
      <c r="DC769">
        <v>0</v>
      </c>
      <c r="DD769">
        <v>1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"12/16/2021 14:45:58.295"</f>
        <v>12/16/2021 14:45:58.295</v>
      </c>
      <c r="C770" t="str">
        <f t="shared" si="34"/>
        <v>FFDFD3C0</v>
      </c>
      <c r="D770" t="s">
        <v>124</v>
      </c>
      <c r="E770">
        <v>10</v>
      </c>
      <c r="F770">
        <v>1010</v>
      </c>
      <c r="G770" t="s">
        <v>130</v>
      </c>
      <c r="J770" t="s">
        <v>125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"14:45:58.102"</f>
        <v>14:45:58.102</v>
      </c>
      <c r="T770" t="str">
        <f>"14:45:57.602"</f>
        <v>14:45:57.602</v>
      </c>
      <c r="U770" t="str">
        <f t="shared" ref="U770:U833" si="36">"A0F928"</f>
        <v>A0F928</v>
      </c>
      <c r="V770">
        <v>0</v>
      </c>
      <c r="W770">
        <v>0</v>
      </c>
      <c r="X770">
        <v>2</v>
      </c>
      <c r="Z770">
        <v>0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1</v>
      </c>
      <c r="AI770" t="s">
        <v>491</v>
      </c>
      <c r="AJ770">
        <v>35.801375</v>
      </c>
      <c r="AK770" t="s">
        <v>492</v>
      </c>
      <c r="AL770">
        <v>-83.948528999999994</v>
      </c>
      <c r="AM770">
        <v>25</v>
      </c>
      <c r="AN770">
        <v>1575</v>
      </c>
      <c r="AO770" t="s">
        <v>118</v>
      </c>
      <c r="AP770">
        <v>-103</v>
      </c>
      <c r="AQ770">
        <v>51</v>
      </c>
      <c r="AR770">
        <v>-128</v>
      </c>
      <c r="AZ770">
        <v>300</v>
      </c>
      <c r="BA770">
        <v>1</v>
      </c>
      <c r="BB770" t="str">
        <f t="shared" si="35"/>
        <v xml:space="preserve">N162AM  </v>
      </c>
      <c r="BC770">
        <v>1</v>
      </c>
      <c r="BE770">
        <v>0</v>
      </c>
      <c r="BF770">
        <v>0</v>
      </c>
      <c r="BG770">
        <v>0</v>
      </c>
      <c r="BH770">
        <v>1825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>"14:45:58.103"</f>
        <v>14:45:58.103</v>
      </c>
      <c r="CJ770">
        <v>3</v>
      </c>
      <c r="CK770">
        <v>2</v>
      </c>
      <c r="CL770">
        <v>0</v>
      </c>
      <c r="CM770">
        <v>2</v>
      </c>
      <c r="CN770">
        <v>0</v>
      </c>
      <c r="CO770">
        <v>6</v>
      </c>
      <c r="CP770" t="s">
        <v>119</v>
      </c>
      <c r="CQ770">
        <v>232</v>
      </c>
      <c r="CR770">
        <v>1</v>
      </c>
      <c r="CW770">
        <v>15132076</v>
      </c>
      <c r="CY770">
        <v>1</v>
      </c>
      <c r="CZ770">
        <v>0</v>
      </c>
      <c r="DA770">
        <v>1</v>
      </c>
      <c r="DB770">
        <v>0</v>
      </c>
      <c r="DC770">
        <v>0</v>
      </c>
      <c r="DD770">
        <v>1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"12/16/2021 14:45:58.326"</f>
        <v>12/16/2021 14:45:58.326</v>
      </c>
      <c r="C771" t="str">
        <f t="shared" si="34"/>
        <v>FFDFD3C0</v>
      </c>
      <c r="D771" t="s">
        <v>124</v>
      </c>
      <c r="E771">
        <v>5</v>
      </c>
      <c r="F771">
        <v>1005</v>
      </c>
      <c r="G771" t="s">
        <v>114</v>
      </c>
      <c r="J771" t="s">
        <v>125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"14:45:58.102"</f>
        <v>14:45:58.102</v>
      </c>
      <c r="T771" t="str">
        <f>"14:45:57.602"</f>
        <v>14:45:57.602</v>
      </c>
      <c r="U771" t="str">
        <f t="shared" si="36"/>
        <v>A0F928</v>
      </c>
      <c r="V771">
        <v>0</v>
      </c>
      <c r="W771">
        <v>0</v>
      </c>
      <c r="X771">
        <v>2</v>
      </c>
      <c r="Z771">
        <v>0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1</v>
      </c>
      <c r="AI771" t="s">
        <v>491</v>
      </c>
      <c r="AJ771">
        <v>35.801375</v>
      </c>
      <c r="AK771" t="s">
        <v>492</v>
      </c>
      <c r="AL771">
        <v>-83.948528999999994</v>
      </c>
      <c r="AM771">
        <v>25</v>
      </c>
      <c r="AN771">
        <v>1575</v>
      </c>
      <c r="AO771" t="s">
        <v>118</v>
      </c>
      <c r="AP771">
        <v>-103</v>
      </c>
      <c r="AQ771">
        <v>51</v>
      </c>
      <c r="AR771">
        <v>-128</v>
      </c>
      <c r="AZ771">
        <v>300</v>
      </c>
      <c r="BA771">
        <v>1</v>
      </c>
      <c r="BB771" t="str">
        <f t="shared" si="35"/>
        <v xml:space="preserve">N162AM  </v>
      </c>
      <c r="BC771">
        <v>1</v>
      </c>
      <c r="BE771">
        <v>0</v>
      </c>
      <c r="BF771">
        <v>0</v>
      </c>
      <c r="BG771">
        <v>0</v>
      </c>
      <c r="BH771">
        <v>1825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>"14:45:58.103"</f>
        <v>14:45:58.103</v>
      </c>
      <c r="CJ771">
        <v>3</v>
      </c>
      <c r="CK771">
        <v>2</v>
      </c>
      <c r="CL771">
        <v>0</v>
      </c>
      <c r="CM771">
        <v>2</v>
      </c>
      <c r="CN771">
        <v>0</v>
      </c>
      <c r="CO771">
        <v>6</v>
      </c>
      <c r="CP771" t="s">
        <v>119</v>
      </c>
      <c r="CQ771">
        <v>232</v>
      </c>
      <c r="CR771">
        <v>1</v>
      </c>
      <c r="CW771">
        <v>15132076</v>
      </c>
      <c r="CY771">
        <v>1</v>
      </c>
      <c r="CZ771">
        <v>0</v>
      </c>
      <c r="DA771">
        <v>1</v>
      </c>
      <c r="DB771">
        <v>0</v>
      </c>
      <c r="DC771">
        <v>0</v>
      </c>
      <c r="DD771">
        <v>1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"12/16/2021 14:45:58.326"</f>
        <v>12/16/2021 14:45:58.326</v>
      </c>
      <c r="C772" t="str">
        <f t="shared" si="34"/>
        <v>FFDFD3C0</v>
      </c>
      <c r="D772" t="s">
        <v>133</v>
      </c>
      <c r="E772">
        <v>44</v>
      </c>
      <c r="H772">
        <v>131</v>
      </c>
      <c r="I772" t="s">
        <v>134</v>
      </c>
      <c r="J772" t="s">
        <v>135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"14:45:58.102"</f>
        <v>14:45:58.102</v>
      </c>
      <c r="T772" t="str">
        <f>"14:45:57.602"</f>
        <v>14:45:57.602</v>
      </c>
      <c r="U772" t="str">
        <f t="shared" si="36"/>
        <v>A0F928</v>
      </c>
      <c r="V772">
        <v>0</v>
      </c>
      <c r="W772">
        <v>0</v>
      </c>
      <c r="X772">
        <v>2</v>
      </c>
      <c r="Z772">
        <v>0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1</v>
      </c>
      <c r="AI772" t="s">
        <v>491</v>
      </c>
      <c r="AJ772">
        <v>35.801375</v>
      </c>
      <c r="AK772" t="s">
        <v>492</v>
      </c>
      <c r="AL772">
        <v>-83.948528999999994</v>
      </c>
      <c r="AM772">
        <v>25</v>
      </c>
      <c r="AN772">
        <v>1575</v>
      </c>
      <c r="AO772" t="s">
        <v>118</v>
      </c>
      <c r="AP772">
        <v>-103</v>
      </c>
      <c r="AQ772">
        <v>51</v>
      </c>
      <c r="AR772">
        <v>-128</v>
      </c>
      <c r="AZ772">
        <v>300</v>
      </c>
      <c r="BA772">
        <v>1</v>
      </c>
      <c r="BB772" t="str">
        <f t="shared" si="35"/>
        <v xml:space="preserve">N162AM  </v>
      </c>
      <c r="BC772">
        <v>1</v>
      </c>
      <c r="BE772">
        <v>0</v>
      </c>
      <c r="BF772">
        <v>0</v>
      </c>
      <c r="BG772">
        <v>0</v>
      </c>
      <c r="BH772">
        <v>1825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>"14:45:58.103"</f>
        <v>14:45:58.103</v>
      </c>
      <c r="CJ772">
        <v>3</v>
      </c>
      <c r="CK772">
        <v>2</v>
      </c>
      <c r="CL772">
        <v>0</v>
      </c>
      <c r="CM772">
        <v>2</v>
      </c>
      <c r="CN772">
        <v>0</v>
      </c>
      <c r="CO772">
        <v>6</v>
      </c>
      <c r="CP772" t="s">
        <v>119</v>
      </c>
      <c r="CQ772">
        <v>232</v>
      </c>
      <c r="CR772">
        <v>1</v>
      </c>
      <c r="CW772">
        <v>15132076</v>
      </c>
      <c r="CY772">
        <v>1</v>
      </c>
      <c r="CZ772">
        <v>0</v>
      </c>
      <c r="DA772">
        <v>1</v>
      </c>
      <c r="DB772">
        <v>0</v>
      </c>
      <c r="DC772">
        <v>0</v>
      </c>
      <c r="DD772">
        <v>1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"12/16/2021 14:45:59.187"</f>
        <v>12/16/2021 14:45:59.187</v>
      </c>
      <c r="C773" t="str">
        <f t="shared" si="34"/>
        <v>FFDFD3C0</v>
      </c>
      <c r="D773" t="s">
        <v>133</v>
      </c>
      <c r="E773">
        <v>44</v>
      </c>
      <c r="H773">
        <v>131</v>
      </c>
      <c r="I773" t="s">
        <v>134</v>
      </c>
      <c r="J773" t="s">
        <v>135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"14:45:59.000"</f>
        <v>14:45:59.000</v>
      </c>
      <c r="T773" t="str">
        <f>"14:45:58.600"</f>
        <v>14:45:58.600</v>
      </c>
      <c r="U773" t="str">
        <f t="shared" si="36"/>
        <v>A0F928</v>
      </c>
      <c r="V773">
        <v>0</v>
      </c>
      <c r="W773">
        <v>0</v>
      </c>
      <c r="X773">
        <v>2</v>
      </c>
      <c r="Z773">
        <v>0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1</v>
      </c>
      <c r="AI773" t="s">
        <v>493</v>
      </c>
      <c r="AJ773">
        <v>35.801611000000001</v>
      </c>
      <c r="AK773" t="s">
        <v>494</v>
      </c>
      <c r="AL773">
        <v>-83.949044000000001</v>
      </c>
      <c r="AM773">
        <v>25</v>
      </c>
      <c r="AN773">
        <v>1575</v>
      </c>
      <c r="AO773" t="s">
        <v>118</v>
      </c>
      <c r="AP773">
        <v>-101</v>
      </c>
      <c r="AQ773">
        <v>58</v>
      </c>
      <c r="AR773">
        <v>-128</v>
      </c>
      <c r="AZ773">
        <v>300</v>
      </c>
      <c r="BA773">
        <v>1</v>
      </c>
      <c r="BB773" t="str">
        <f t="shared" si="35"/>
        <v xml:space="preserve">N162AM  </v>
      </c>
      <c r="BC773">
        <v>1</v>
      </c>
      <c r="BE773">
        <v>0</v>
      </c>
      <c r="BF773">
        <v>0</v>
      </c>
      <c r="BG773">
        <v>0</v>
      </c>
      <c r="BH773">
        <v>1850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>"14:45:59.004"</f>
        <v>14:45:59.004</v>
      </c>
      <c r="CJ773">
        <v>3</v>
      </c>
      <c r="CK773">
        <v>2</v>
      </c>
      <c r="CL773">
        <v>0</v>
      </c>
      <c r="CM773">
        <v>2</v>
      </c>
      <c r="CN773">
        <v>0</v>
      </c>
      <c r="CO773">
        <v>6</v>
      </c>
      <c r="CP773" t="s">
        <v>119</v>
      </c>
      <c r="CQ773">
        <v>232</v>
      </c>
      <c r="CR773">
        <v>1</v>
      </c>
      <c r="CW773">
        <v>15133468</v>
      </c>
      <c r="CY773">
        <v>1</v>
      </c>
      <c r="CZ773">
        <v>0</v>
      </c>
      <c r="DA773">
        <v>0</v>
      </c>
      <c r="DB773">
        <v>0</v>
      </c>
      <c r="DC773">
        <v>0</v>
      </c>
      <c r="DD773">
        <v>1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"12/16/2021 14:45:59.203"</f>
        <v>12/16/2021 14:45:59.203</v>
      </c>
      <c r="C774" t="str">
        <f t="shared" si="34"/>
        <v>FFDFD3C0</v>
      </c>
      <c r="D774" t="s">
        <v>124</v>
      </c>
      <c r="E774">
        <v>10</v>
      </c>
      <c r="F774">
        <v>1010</v>
      </c>
      <c r="G774" t="s">
        <v>130</v>
      </c>
      <c r="J774" t="s">
        <v>125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"14:45:59.000"</f>
        <v>14:45:59.000</v>
      </c>
      <c r="T774" t="str">
        <f>"14:45:58.600"</f>
        <v>14:45:58.600</v>
      </c>
      <c r="U774" t="str">
        <f t="shared" si="36"/>
        <v>A0F928</v>
      </c>
      <c r="V774">
        <v>0</v>
      </c>
      <c r="W774">
        <v>0</v>
      </c>
      <c r="X774">
        <v>2</v>
      </c>
      <c r="Z774">
        <v>0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0</v>
      </c>
      <c r="AG774">
        <v>2</v>
      </c>
      <c r="AH774">
        <v>1</v>
      </c>
      <c r="AI774" t="s">
        <v>493</v>
      </c>
      <c r="AJ774">
        <v>35.801611000000001</v>
      </c>
      <c r="AK774" t="s">
        <v>494</v>
      </c>
      <c r="AL774">
        <v>-83.949044000000001</v>
      </c>
      <c r="AM774">
        <v>25</v>
      </c>
      <c r="AN774">
        <v>1575</v>
      </c>
      <c r="AO774" t="s">
        <v>118</v>
      </c>
      <c r="AP774">
        <v>-101</v>
      </c>
      <c r="AQ774">
        <v>58</v>
      </c>
      <c r="AR774">
        <v>-128</v>
      </c>
      <c r="AZ774">
        <v>300</v>
      </c>
      <c r="BA774">
        <v>1</v>
      </c>
      <c r="BB774" t="str">
        <f t="shared" si="35"/>
        <v xml:space="preserve">N162AM  </v>
      </c>
      <c r="BC774">
        <v>1</v>
      </c>
      <c r="BE774">
        <v>0</v>
      </c>
      <c r="BF774">
        <v>0</v>
      </c>
      <c r="BG774">
        <v>0</v>
      </c>
      <c r="BH774">
        <v>1850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>"14:45:59.004"</f>
        <v>14:45:59.004</v>
      </c>
      <c r="CJ774">
        <v>2</v>
      </c>
      <c r="CK774">
        <v>2</v>
      </c>
      <c r="CL774">
        <v>0</v>
      </c>
      <c r="CM774">
        <v>2</v>
      </c>
      <c r="CN774">
        <v>0</v>
      </c>
      <c r="CO774">
        <v>6</v>
      </c>
      <c r="CP774" t="s">
        <v>119</v>
      </c>
      <c r="CQ774">
        <v>232</v>
      </c>
      <c r="CR774">
        <v>1</v>
      </c>
      <c r="CW774">
        <v>15133468</v>
      </c>
      <c r="CY774">
        <v>1</v>
      </c>
      <c r="CZ774">
        <v>0</v>
      </c>
      <c r="DA774">
        <v>1</v>
      </c>
      <c r="DB774">
        <v>0</v>
      </c>
      <c r="DC774">
        <v>0</v>
      </c>
      <c r="DD774">
        <v>1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"12/16/2021 14:45:59.218"</f>
        <v>12/16/2021 14:45:59.218</v>
      </c>
      <c r="C775" t="str">
        <f t="shared" si="34"/>
        <v>FFDFD3C0</v>
      </c>
      <c r="D775" t="s">
        <v>113</v>
      </c>
      <c r="E775">
        <v>8</v>
      </c>
      <c r="H775">
        <v>176</v>
      </c>
      <c r="I775" t="s">
        <v>114</v>
      </c>
      <c r="J775" t="s">
        <v>115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"14:45:59.000"</f>
        <v>14:45:59.000</v>
      </c>
      <c r="T775" t="str">
        <f>"14:45:58.600"</f>
        <v>14:45:58.600</v>
      </c>
      <c r="U775" t="str">
        <f t="shared" si="36"/>
        <v>A0F928</v>
      </c>
      <c r="V775">
        <v>0</v>
      </c>
      <c r="W775">
        <v>0</v>
      </c>
      <c r="X775">
        <v>2</v>
      </c>
      <c r="Z775">
        <v>0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1</v>
      </c>
      <c r="AI775" t="s">
        <v>493</v>
      </c>
      <c r="AJ775">
        <v>35.801611000000001</v>
      </c>
      <c r="AK775" t="s">
        <v>494</v>
      </c>
      <c r="AL775">
        <v>-83.949044000000001</v>
      </c>
      <c r="AM775">
        <v>25</v>
      </c>
      <c r="AN775">
        <v>1575</v>
      </c>
      <c r="AO775" t="s">
        <v>118</v>
      </c>
      <c r="AP775">
        <v>-101</v>
      </c>
      <c r="AQ775">
        <v>58</v>
      </c>
      <c r="AR775">
        <v>-128</v>
      </c>
      <c r="AZ775">
        <v>300</v>
      </c>
      <c r="BA775">
        <v>1</v>
      </c>
      <c r="BB775" t="str">
        <f t="shared" si="35"/>
        <v xml:space="preserve">N162AM  </v>
      </c>
      <c r="BC775">
        <v>1</v>
      </c>
      <c r="BE775">
        <v>0</v>
      </c>
      <c r="BF775">
        <v>0</v>
      </c>
      <c r="BG775">
        <v>0</v>
      </c>
      <c r="BH775">
        <v>1850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>"14:45:59.004"</f>
        <v>14:45:59.004</v>
      </c>
      <c r="CJ775">
        <v>3</v>
      </c>
      <c r="CK775">
        <v>2</v>
      </c>
      <c r="CL775">
        <v>0</v>
      </c>
      <c r="CM775">
        <v>2</v>
      </c>
      <c r="CN775">
        <v>0</v>
      </c>
      <c r="CO775">
        <v>6</v>
      </c>
      <c r="CP775" t="s">
        <v>119</v>
      </c>
      <c r="CQ775">
        <v>232</v>
      </c>
      <c r="CR775">
        <v>1</v>
      </c>
      <c r="CW775">
        <v>15133468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1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"12/16/2021 14:45:59.218"</f>
        <v>12/16/2021 14:45:59.218</v>
      </c>
      <c r="C776" t="str">
        <f t="shared" si="34"/>
        <v>FFDFD3C0</v>
      </c>
      <c r="D776" t="s">
        <v>124</v>
      </c>
      <c r="E776">
        <v>5</v>
      </c>
      <c r="F776">
        <v>1005</v>
      </c>
      <c r="G776" t="s">
        <v>114</v>
      </c>
      <c r="J776" t="s">
        <v>125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"14:45:59.000"</f>
        <v>14:45:59.000</v>
      </c>
      <c r="T776" t="str">
        <f>"14:45:58.600"</f>
        <v>14:45:58.600</v>
      </c>
      <c r="U776" t="str">
        <f t="shared" si="36"/>
        <v>A0F928</v>
      </c>
      <c r="V776">
        <v>0</v>
      </c>
      <c r="W776">
        <v>0</v>
      </c>
      <c r="X776">
        <v>2</v>
      </c>
      <c r="Z776">
        <v>0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1</v>
      </c>
      <c r="AI776" t="s">
        <v>493</v>
      </c>
      <c r="AJ776">
        <v>35.801611000000001</v>
      </c>
      <c r="AK776" t="s">
        <v>494</v>
      </c>
      <c r="AL776">
        <v>-83.949044000000001</v>
      </c>
      <c r="AM776">
        <v>25</v>
      </c>
      <c r="AN776">
        <v>1575</v>
      </c>
      <c r="AO776" t="s">
        <v>118</v>
      </c>
      <c r="AP776">
        <v>-101</v>
      </c>
      <c r="AQ776">
        <v>58</v>
      </c>
      <c r="AR776">
        <v>-128</v>
      </c>
      <c r="AZ776">
        <v>300</v>
      </c>
      <c r="BA776">
        <v>1</v>
      </c>
      <c r="BB776" t="str">
        <f t="shared" si="35"/>
        <v xml:space="preserve">N162AM  </v>
      </c>
      <c r="BC776">
        <v>1</v>
      </c>
      <c r="BE776">
        <v>0</v>
      </c>
      <c r="BF776">
        <v>0</v>
      </c>
      <c r="BG776">
        <v>0</v>
      </c>
      <c r="BH776">
        <v>1850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>"14:45:59.004"</f>
        <v>14:45:59.004</v>
      </c>
      <c r="CJ776">
        <v>3</v>
      </c>
      <c r="CK776">
        <v>2</v>
      </c>
      <c r="CL776">
        <v>0</v>
      </c>
      <c r="CM776">
        <v>2</v>
      </c>
      <c r="CN776">
        <v>0</v>
      </c>
      <c r="CO776">
        <v>6</v>
      </c>
      <c r="CP776" t="s">
        <v>119</v>
      </c>
      <c r="CQ776">
        <v>232</v>
      </c>
      <c r="CR776">
        <v>1</v>
      </c>
      <c r="CW776">
        <v>15133468</v>
      </c>
      <c r="CY776">
        <v>1</v>
      </c>
      <c r="CZ776">
        <v>0</v>
      </c>
      <c r="DA776">
        <v>1</v>
      </c>
      <c r="DB776">
        <v>0</v>
      </c>
      <c r="DC776">
        <v>0</v>
      </c>
      <c r="DD776">
        <v>1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"12/16/2021 14:46:00.209"</f>
        <v>12/16/2021 14:46:00.209</v>
      </c>
      <c r="C777" t="str">
        <f t="shared" si="34"/>
        <v>FFDFD3C0</v>
      </c>
      <c r="D777" t="s">
        <v>113</v>
      </c>
      <c r="E777">
        <v>8</v>
      </c>
      <c r="H777">
        <v>176</v>
      </c>
      <c r="I777" t="s">
        <v>114</v>
      </c>
      <c r="J777" t="s">
        <v>115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"14:46:00.000"</f>
        <v>14:46:00.000</v>
      </c>
      <c r="T777" t="str">
        <f>"14:45:59.600"</f>
        <v>14:45:59.600</v>
      </c>
      <c r="U777" t="str">
        <f t="shared" si="36"/>
        <v>A0F928</v>
      </c>
      <c r="V777">
        <v>0</v>
      </c>
      <c r="W777">
        <v>0</v>
      </c>
      <c r="X777">
        <v>2</v>
      </c>
      <c r="Z777">
        <v>0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1</v>
      </c>
      <c r="AI777" t="s">
        <v>495</v>
      </c>
      <c r="AJ777">
        <v>35.801932999999998</v>
      </c>
      <c r="AK777" t="s">
        <v>496</v>
      </c>
      <c r="AL777">
        <v>-83.949558999999994</v>
      </c>
      <c r="AM777">
        <v>25</v>
      </c>
      <c r="AN777">
        <v>1575</v>
      </c>
      <c r="AO777" t="s">
        <v>118</v>
      </c>
      <c r="AP777">
        <v>-98</v>
      </c>
      <c r="AQ777">
        <v>65</v>
      </c>
      <c r="AR777">
        <v>-64</v>
      </c>
      <c r="AZ777">
        <v>300</v>
      </c>
      <c r="BA777">
        <v>1</v>
      </c>
      <c r="BB777" t="str">
        <f t="shared" si="35"/>
        <v xml:space="preserve">N162AM  </v>
      </c>
      <c r="BC777">
        <v>1</v>
      </c>
      <c r="BE777">
        <v>0</v>
      </c>
      <c r="BF777">
        <v>0</v>
      </c>
      <c r="BG777">
        <v>0</v>
      </c>
      <c r="BH777">
        <v>1850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>"14:46:00.004"</f>
        <v>14:46:00.004</v>
      </c>
      <c r="CJ777">
        <v>3</v>
      </c>
      <c r="CK777">
        <v>2</v>
      </c>
      <c r="CL777">
        <v>0</v>
      </c>
      <c r="CM777">
        <v>2</v>
      </c>
      <c r="CN777">
        <v>0</v>
      </c>
      <c r="CO777">
        <v>6</v>
      </c>
      <c r="CP777" t="s">
        <v>119</v>
      </c>
      <c r="CQ777">
        <v>232</v>
      </c>
      <c r="CR777">
        <v>1</v>
      </c>
      <c r="CW777">
        <v>15135016</v>
      </c>
      <c r="CY777">
        <v>1</v>
      </c>
      <c r="CZ777">
        <v>0</v>
      </c>
      <c r="DA777">
        <v>0</v>
      </c>
      <c r="DB777">
        <v>0</v>
      </c>
      <c r="DC777">
        <v>0</v>
      </c>
      <c r="DD777">
        <v>1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"12/16/2021 14:46:00.225"</f>
        <v>12/16/2021 14:46:00.225</v>
      </c>
      <c r="C778" t="str">
        <f t="shared" si="34"/>
        <v>FFDFD3C0</v>
      </c>
      <c r="D778" t="s">
        <v>124</v>
      </c>
      <c r="E778">
        <v>10</v>
      </c>
      <c r="F778">
        <v>1010</v>
      </c>
      <c r="G778" t="s">
        <v>130</v>
      </c>
      <c r="J778" t="s">
        <v>125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"14:46:00.000"</f>
        <v>14:46:00.000</v>
      </c>
      <c r="T778" t="str">
        <f>"14:45:59.600"</f>
        <v>14:45:59.600</v>
      </c>
      <c r="U778" t="str">
        <f t="shared" si="36"/>
        <v>A0F928</v>
      </c>
      <c r="V778">
        <v>0</v>
      </c>
      <c r="W778">
        <v>0</v>
      </c>
      <c r="X778">
        <v>2</v>
      </c>
      <c r="Z778">
        <v>0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0</v>
      </c>
      <c r="AG778">
        <v>2</v>
      </c>
      <c r="AH778">
        <v>1</v>
      </c>
      <c r="AI778" t="s">
        <v>495</v>
      </c>
      <c r="AJ778">
        <v>35.801932999999998</v>
      </c>
      <c r="AK778" t="s">
        <v>496</v>
      </c>
      <c r="AL778">
        <v>-83.949558999999994</v>
      </c>
      <c r="AM778">
        <v>25</v>
      </c>
      <c r="AN778">
        <v>1575</v>
      </c>
      <c r="AO778" t="s">
        <v>118</v>
      </c>
      <c r="AP778">
        <v>-98</v>
      </c>
      <c r="AQ778">
        <v>65</v>
      </c>
      <c r="AR778">
        <v>-64</v>
      </c>
      <c r="AZ778">
        <v>300</v>
      </c>
      <c r="BA778">
        <v>1</v>
      </c>
      <c r="BB778" t="str">
        <f t="shared" si="35"/>
        <v xml:space="preserve">N162AM  </v>
      </c>
      <c r="BC778">
        <v>1</v>
      </c>
      <c r="BE778">
        <v>0</v>
      </c>
      <c r="BF778">
        <v>0</v>
      </c>
      <c r="BG778">
        <v>0</v>
      </c>
      <c r="BH778">
        <v>1850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>"14:46:00.004"</f>
        <v>14:46:00.004</v>
      </c>
      <c r="CJ778">
        <v>2</v>
      </c>
      <c r="CK778">
        <v>2</v>
      </c>
      <c r="CL778">
        <v>0</v>
      </c>
      <c r="CM778">
        <v>2</v>
      </c>
      <c r="CN778">
        <v>0</v>
      </c>
      <c r="CO778">
        <v>6</v>
      </c>
      <c r="CP778" t="s">
        <v>119</v>
      </c>
      <c r="CQ778">
        <v>232</v>
      </c>
      <c r="CR778">
        <v>1</v>
      </c>
      <c r="CW778">
        <v>15135016</v>
      </c>
      <c r="CY778">
        <v>1</v>
      </c>
      <c r="CZ778">
        <v>0</v>
      </c>
      <c r="DA778">
        <v>1</v>
      </c>
      <c r="DB778">
        <v>0</v>
      </c>
      <c r="DC778">
        <v>0</v>
      </c>
      <c r="DD778">
        <v>1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"12/16/2021 14:46:00.225"</f>
        <v>12/16/2021 14:46:00.225</v>
      </c>
      <c r="C779" t="str">
        <f t="shared" si="34"/>
        <v>FFDFD3C0</v>
      </c>
      <c r="D779" t="s">
        <v>124</v>
      </c>
      <c r="E779">
        <v>5</v>
      </c>
      <c r="F779">
        <v>1005</v>
      </c>
      <c r="G779" t="s">
        <v>114</v>
      </c>
      <c r="J779" t="s">
        <v>125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"14:46:00.000"</f>
        <v>14:46:00.000</v>
      </c>
      <c r="T779" t="str">
        <f>"14:45:59.600"</f>
        <v>14:45:59.600</v>
      </c>
      <c r="U779" t="str">
        <f t="shared" si="36"/>
        <v>A0F928</v>
      </c>
      <c r="V779">
        <v>0</v>
      </c>
      <c r="W779">
        <v>0</v>
      </c>
      <c r="X779">
        <v>2</v>
      </c>
      <c r="Z779">
        <v>0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1</v>
      </c>
      <c r="AI779" t="s">
        <v>495</v>
      </c>
      <c r="AJ779">
        <v>35.801932999999998</v>
      </c>
      <c r="AK779" t="s">
        <v>496</v>
      </c>
      <c r="AL779">
        <v>-83.949558999999994</v>
      </c>
      <c r="AM779">
        <v>25</v>
      </c>
      <c r="AN779">
        <v>1575</v>
      </c>
      <c r="AO779" t="s">
        <v>118</v>
      </c>
      <c r="AP779">
        <v>-98</v>
      </c>
      <c r="AQ779">
        <v>65</v>
      </c>
      <c r="AR779">
        <v>-64</v>
      </c>
      <c r="AZ779">
        <v>300</v>
      </c>
      <c r="BA779">
        <v>1</v>
      </c>
      <c r="BB779" t="str">
        <f t="shared" si="35"/>
        <v xml:space="preserve">N162AM  </v>
      </c>
      <c r="BC779">
        <v>1</v>
      </c>
      <c r="BE779">
        <v>0</v>
      </c>
      <c r="BF779">
        <v>0</v>
      </c>
      <c r="BG779">
        <v>0</v>
      </c>
      <c r="BH779">
        <v>1850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>"14:46:00.004"</f>
        <v>14:46:00.004</v>
      </c>
      <c r="CJ779">
        <v>3</v>
      </c>
      <c r="CK779">
        <v>2</v>
      </c>
      <c r="CL779">
        <v>0</v>
      </c>
      <c r="CM779">
        <v>2</v>
      </c>
      <c r="CN779">
        <v>0</v>
      </c>
      <c r="CO779">
        <v>6</v>
      </c>
      <c r="CP779" t="s">
        <v>119</v>
      </c>
      <c r="CQ779">
        <v>232</v>
      </c>
      <c r="CR779">
        <v>1</v>
      </c>
      <c r="CW779">
        <v>15135016</v>
      </c>
      <c r="CY779">
        <v>1</v>
      </c>
      <c r="CZ779">
        <v>0</v>
      </c>
      <c r="DA779">
        <v>1</v>
      </c>
      <c r="DB779">
        <v>0</v>
      </c>
      <c r="DC779">
        <v>0</v>
      </c>
      <c r="DD779">
        <v>1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"12/16/2021 14:46:00.240"</f>
        <v>12/16/2021 14:46:00.240</v>
      </c>
      <c r="C780" t="str">
        <f t="shared" ref="C780:C843" si="37">"FFDFD3C0"</f>
        <v>FFDFD3C0</v>
      </c>
      <c r="D780" t="s">
        <v>133</v>
      </c>
      <c r="E780">
        <v>44</v>
      </c>
      <c r="H780">
        <v>131</v>
      </c>
      <c r="I780" t="s">
        <v>134</v>
      </c>
      <c r="J780" t="s">
        <v>135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"14:46:00.000"</f>
        <v>14:46:00.000</v>
      </c>
      <c r="T780" t="str">
        <f>"14:45:59.600"</f>
        <v>14:45:59.600</v>
      </c>
      <c r="U780" t="str">
        <f t="shared" si="36"/>
        <v>A0F928</v>
      </c>
      <c r="V780">
        <v>0</v>
      </c>
      <c r="W780">
        <v>0</v>
      </c>
      <c r="X780">
        <v>2</v>
      </c>
      <c r="Z780">
        <v>0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1</v>
      </c>
      <c r="AI780" t="s">
        <v>495</v>
      </c>
      <c r="AJ780">
        <v>35.801932999999998</v>
      </c>
      <c r="AK780" t="s">
        <v>496</v>
      </c>
      <c r="AL780">
        <v>-83.949558999999994</v>
      </c>
      <c r="AM780">
        <v>25</v>
      </c>
      <c r="AN780">
        <v>1575</v>
      </c>
      <c r="AO780" t="s">
        <v>118</v>
      </c>
      <c r="AP780">
        <v>-98</v>
      </c>
      <c r="AQ780">
        <v>65</v>
      </c>
      <c r="AR780">
        <v>-64</v>
      </c>
      <c r="AZ780">
        <v>300</v>
      </c>
      <c r="BA780">
        <v>1</v>
      </c>
      <c r="BB780" t="str">
        <f t="shared" ref="BB780:BB843" si="38">"N162AM  "</f>
        <v xml:space="preserve">N162AM  </v>
      </c>
      <c r="BC780">
        <v>1</v>
      </c>
      <c r="BE780">
        <v>0</v>
      </c>
      <c r="BF780">
        <v>0</v>
      </c>
      <c r="BG780">
        <v>0</v>
      </c>
      <c r="BH780">
        <v>1850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>"14:46:00.004"</f>
        <v>14:46:00.004</v>
      </c>
      <c r="CJ780">
        <v>3</v>
      </c>
      <c r="CK780">
        <v>2</v>
      </c>
      <c r="CL780">
        <v>0</v>
      </c>
      <c r="CM780">
        <v>2</v>
      </c>
      <c r="CN780">
        <v>0</v>
      </c>
      <c r="CO780">
        <v>6</v>
      </c>
      <c r="CP780" t="s">
        <v>119</v>
      </c>
      <c r="CQ780">
        <v>232</v>
      </c>
      <c r="CR780">
        <v>1</v>
      </c>
      <c r="CW780">
        <v>15135016</v>
      </c>
      <c r="CY780">
        <v>1</v>
      </c>
      <c r="CZ780">
        <v>0</v>
      </c>
      <c r="DA780">
        <v>1</v>
      </c>
      <c r="DB780">
        <v>0</v>
      </c>
      <c r="DC780">
        <v>0</v>
      </c>
      <c r="DD780">
        <v>1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"12/16/2021 14:46:01.787"</f>
        <v>12/16/2021 14:46:01.787</v>
      </c>
      <c r="C781" t="str">
        <f t="shared" si="37"/>
        <v>FFDFD3C0</v>
      </c>
      <c r="D781" t="s">
        <v>113</v>
      </c>
      <c r="E781">
        <v>8</v>
      </c>
      <c r="H781">
        <v>176</v>
      </c>
      <c r="I781" t="s">
        <v>114</v>
      </c>
      <c r="J781" t="s">
        <v>115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"14:46:01.602"</f>
        <v>14:46:01.602</v>
      </c>
      <c r="T781" t="str">
        <f>"14:46:01.102"</f>
        <v>14:46:01.102</v>
      </c>
      <c r="U781" t="str">
        <f t="shared" si="36"/>
        <v>A0F928</v>
      </c>
      <c r="V781">
        <v>0</v>
      </c>
      <c r="W781">
        <v>0</v>
      </c>
      <c r="X781">
        <v>2</v>
      </c>
      <c r="Z781">
        <v>0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1</v>
      </c>
      <c r="AI781" t="s">
        <v>497</v>
      </c>
      <c r="AJ781">
        <v>35.802469000000002</v>
      </c>
      <c r="AK781" t="s">
        <v>498</v>
      </c>
      <c r="AL781">
        <v>-83.950417000000002</v>
      </c>
      <c r="AM781">
        <v>25</v>
      </c>
      <c r="AN781">
        <v>1575</v>
      </c>
      <c r="AO781" t="s">
        <v>118</v>
      </c>
      <c r="AP781">
        <v>-94</v>
      </c>
      <c r="AQ781">
        <v>73</v>
      </c>
      <c r="AR781">
        <v>-64</v>
      </c>
      <c r="AZ781">
        <v>300</v>
      </c>
      <c r="BA781">
        <v>1</v>
      </c>
      <c r="BB781" t="str">
        <f t="shared" si="38"/>
        <v xml:space="preserve">N162AM  </v>
      </c>
      <c r="BC781">
        <v>1</v>
      </c>
      <c r="BE781">
        <v>0</v>
      </c>
      <c r="BF781">
        <v>0</v>
      </c>
      <c r="BG781">
        <v>0</v>
      </c>
      <c r="BH781">
        <v>1825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>"14:46:01.606"</f>
        <v>14:46:01.606</v>
      </c>
      <c r="CJ781">
        <v>3</v>
      </c>
      <c r="CK781">
        <v>2</v>
      </c>
      <c r="CL781">
        <v>0</v>
      </c>
      <c r="CM781">
        <v>2</v>
      </c>
      <c r="CN781">
        <v>0</v>
      </c>
      <c r="CO781">
        <v>6</v>
      </c>
      <c r="CP781" t="s">
        <v>119</v>
      </c>
      <c r="CQ781">
        <v>232</v>
      </c>
      <c r="CR781">
        <v>1</v>
      </c>
      <c r="CW781">
        <v>15137528</v>
      </c>
      <c r="CY781">
        <v>1</v>
      </c>
      <c r="CZ781">
        <v>0</v>
      </c>
      <c r="DA781">
        <v>0</v>
      </c>
      <c r="DB781">
        <v>0</v>
      </c>
      <c r="DC781">
        <v>0</v>
      </c>
      <c r="DD781">
        <v>1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"12/16/2021 14:46:01.787"</f>
        <v>12/16/2021 14:46:01.787</v>
      </c>
      <c r="C782" t="str">
        <f t="shared" si="37"/>
        <v>FFDFD3C0</v>
      </c>
      <c r="D782" t="s">
        <v>124</v>
      </c>
      <c r="E782">
        <v>5</v>
      </c>
      <c r="F782">
        <v>1005</v>
      </c>
      <c r="G782" t="s">
        <v>114</v>
      </c>
      <c r="J782" t="s">
        <v>125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"14:46:01.602"</f>
        <v>14:46:01.602</v>
      </c>
      <c r="T782" t="str">
        <f>"14:46:01.102"</f>
        <v>14:46:01.102</v>
      </c>
      <c r="U782" t="str">
        <f t="shared" si="36"/>
        <v>A0F928</v>
      </c>
      <c r="V782">
        <v>0</v>
      </c>
      <c r="W782">
        <v>0</v>
      </c>
      <c r="X782">
        <v>2</v>
      </c>
      <c r="Z782">
        <v>0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1</v>
      </c>
      <c r="AI782" t="s">
        <v>497</v>
      </c>
      <c r="AJ782">
        <v>35.802469000000002</v>
      </c>
      <c r="AK782" t="s">
        <v>498</v>
      </c>
      <c r="AL782">
        <v>-83.950417000000002</v>
      </c>
      <c r="AM782">
        <v>25</v>
      </c>
      <c r="AN782">
        <v>1575</v>
      </c>
      <c r="AO782" t="s">
        <v>118</v>
      </c>
      <c r="AP782">
        <v>-94</v>
      </c>
      <c r="AQ782">
        <v>73</v>
      </c>
      <c r="AR782">
        <v>-64</v>
      </c>
      <c r="AZ782">
        <v>300</v>
      </c>
      <c r="BA782">
        <v>1</v>
      </c>
      <c r="BB782" t="str">
        <f t="shared" si="38"/>
        <v xml:space="preserve">N162AM  </v>
      </c>
      <c r="BC782">
        <v>1</v>
      </c>
      <c r="BE782">
        <v>0</v>
      </c>
      <c r="BF782">
        <v>0</v>
      </c>
      <c r="BG782">
        <v>0</v>
      </c>
      <c r="BH782">
        <v>1825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>"14:46:01.606"</f>
        <v>14:46:01.606</v>
      </c>
      <c r="CJ782">
        <v>3</v>
      </c>
      <c r="CK782">
        <v>2</v>
      </c>
      <c r="CL782">
        <v>0</v>
      </c>
      <c r="CM782">
        <v>2</v>
      </c>
      <c r="CN782">
        <v>0</v>
      </c>
      <c r="CO782">
        <v>6</v>
      </c>
      <c r="CP782" t="s">
        <v>119</v>
      </c>
      <c r="CQ782">
        <v>232</v>
      </c>
      <c r="CR782">
        <v>1</v>
      </c>
      <c r="CW782">
        <v>15137528</v>
      </c>
      <c r="CY782">
        <v>1</v>
      </c>
      <c r="CZ782">
        <v>0</v>
      </c>
      <c r="DA782">
        <v>1</v>
      </c>
      <c r="DB782">
        <v>0</v>
      </c>
      <c r="DC782">
        <v>0</v>
      </c>
      <c r="DD782">
        <v>1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"12/16/2021 14:46:01.818"</f>
        <v>12/16/2021 14:46:01.818</v>
      </c>
      <c r="C783" t="str">
        <f t="shared" si="37"/>
        <v>FFDFD3C0</v>
      </c>
      <c r="D783" t="s">
        <v>133</v>
      </c>
      <c r="E783">
        <v>44</v>
      </c>
      <c r="H783">
        <v>131</v>
      </c>
      <c r="I783" t="s">
        <v>134</v>
      </c>
      <c r="J783" t="s">
        <v>135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"14:46:01.602"</f>
        <v>14:46:01.602</v>
      </c>
      <c r="T783" t="str">
        <f>"14:46:01.102"</f>
        <v>14:46:01.102</v>
      </c>
      <c r="U783" t="str">
        <f t="shared" si="36"/>
        <v>A0F928</v>
      </c>
      <c r="V783">
        <v>0</v>
      </c>
      <c r="W783">
        <v>0</v>
      </c>
      <c r="X783">
        <v>2</v>
      </c>
      <c r="Z783">
        <v>0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1</v>
      </c>
      <c r="AI783" t="s">
        <v>497</v>
      </c>
      <c r="AJ783">
        <v>35.802469000000002</v>
      </c>
      <c r="AK783" t="s">
        <v>498</v>
      </c>
      <c r="AL783">
        <v>-83.950417000000002</v>
      </c>
      <c r="AM783">
        <v>25</v>
      </c>
      <c r="AN783">
        <v>1575</v>
      </c>
      <c r="AO783" t="s">
        <v>118</v>
      </c>
      <c r="AP783">
        <v>-94</v>
      </c>
      <c r="AQ783">
        <v>73</v>
      </c>
      <c r="AR783">
        <v>-64</v>
      </c>
      <c r="AZ783">
        <v>300</v>
      </c>
      <c r="BA783">
        <v>1</v>
      </c>
      <c r="BB783" t="str">
        <f t="shared" si="38"/>
        <v xml:space="preserve">N162AM  </v>
      </c>
      <c r="BC783">
        <v>1</v>
      </c>
      <c r="BE783">
        <v>0</v>
      </c>
      <c r="BF783">
        <v>0</v>
      </c>
      <c r="BG783">
        <v>0</v>
      </c>
      <c r="BH783">
        <v>1825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>"14:46:01.606"</f>
        <v>14:46:01.606</v>
      </c>
      <c r="CJ783">
        <v>3</v>
      </c>
      <c r="CK783">
        <v>2</v>
      </c>
      <c r="CL783">
        <v>0</v>
      </c>
      <c r="CM783">
        <v>2</v>
      </c>
      <c r="CN783">
        <v>0</v>
      </c>
      <c r="CO783">
        <v>6</v>
      </c>
      <c r="CP783" t="s">
        <v>119</v>
      </c>
      <c r="CQ783">
        <v>232</v>
      </c>
      <c r="CR783">
        <v>1</v>
      </c>
      <c r="CW783">
        <v>15137528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1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"12/16/2021 14:46:01.818"</f>
        <v>12/16/2021 14:46:01.818</v>
      </c>
      <c r="C784" t="str">
        <f t="shared" si="37"/>
        <v>FFDFD3C0</v>
      </c>
      <c r="D784" t="s">
        <v>124</v>
      </c>
      <c r="E784">
        <v>10</v>
      </c>
      <c r="F784">
        <v>1010</v>
      </c>
      <c r="G784" t="s">
        <v>130</v>
      </c>
      <c r="J784" t="s">
        <v>125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"14:46:01.602"</f>
        <v>14:46:01.602</v>
      </c>
      <c r="T784" t="str">
        <f>"14:46:01.102"</f>
        <v>14:46:01.102</v>
      </c>
      <c r="U784" t="str">
        <f t="shared" si="36"/>
        <v>A0F928</v>
      </c>
      <c r="V784">
        <v>0</v>
      </c>
      <c r="W784">
        <v>0</v>
      </c>
      <c r="X784">
        <v>2</v>
      </c>
      <c r="Z784">
        <v>0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0</v>
      </c>
      <c r="AG784">
        <v>2</v>
      </c>
      <c r="AH784">
        <v>1</v>
      </c>
      <c r="AI784" t="s">
        <v>497</v>
      </c>
      <c r="AJ784">
        <v>35.802469000000002</v>
      </c>
      <c r="AK784" t="s">
        <v>498</v>
      </c>
      <c r="AL784">
        <v>-83.950417000000002</v>
      </c>
      <c r="AM784">
        <v>25</v>
      </c>
      <c r="AN784">
        <v>1575</v>
      </c>
      <c r="AO784" t="s">
        <v>118</v>
      </c>
      <c r="AP784">
        <v>-94</v>
      </c>
      <c r="AQ784">
        <v>73</v>
      </c>
      <c r="AR784">
        <v>-64</v>
      </c>
      <c r="AZ784">
        <v>300</v>
      </c>
      <c r="BA784">
        <v>1</v>
      </c>
      <c r="BB784" t="str">
        <f t="shared" si="38"/>
        <v xml:space="preserve">N162AM  </v>
      </c>
      <c r="BC784">
        <v>1</v>
      </c>
      <c r="BE784">
        <v>0</v>
      </c>
      <c r="BF784">
        <v>0</v>
      </c>
      <c r="BG784">
        <v>0</v>
      </c>
      <c r="BH784">
        <v>1825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>"14:46:01.606"</f>
        <v>14:46:01.606</v>
      </c>
      <c r="CJ784">
        <v>2</v>
      </c>
      <c r="CK784">
        <v>2</v>
      </c>
      <c r="CL784">
        <v>0</v>
      </c>
      <c r="CM784">
        <v>2</v>
      </c>
      <c r="CN784">
        <v>0</v>
      </c>
      <c r="CO784">
        <v>6</v>
      </c>
      <c r="CP784" t="s">
        <v>119</v>
      </c>
      <c r="CQ784">
        <v>232</v>
      </c>
      <c r="CR784">
        <v>1</v>
      </c>
      <c r="CW784">
        <v>15137528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1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"12/16/2021 14:46:02.725"</f>
        <v>12/16/2021 14:46:02.725</v>
      </c>
      <c r="C785" t="str">
        <f t="shared" si="37"/>
        <v>FFDFD3C0</v>
      </c>
      <c r="D785" t="s">
        <v>124</v>
      </c>
      <c r="E785">
        <v>10</v>
      </c>
      <c r="F785">
        <v>1010</v>
      </c>
      <c r="G785" t="s">
        <v>130</v>
      </c>
      <c r="J785" t="s">
        <v>125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"14:46:02.531"</f>
        <v>14:46:02.531</v>
      </c>
      <c r="T785" t="str">
        <f>"14:46:02.131"</f>
        <v>14:46:02.131</v>
      </c>
      <c r="U785" t="str">
        <f t="shared" si="36"/>
        <v>A0F928</v>
      </c>
      <c r="V785">
        <v>0</v>
      </c>
      <c r="W785">
        <v>0</v>
      </c>
      <c r="X785">
        <v>2</v>
      </c>
      <c r="Z785">
        <v>0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0</v>
      </c>
      <c r="AG785">
        <v>2</v>
      </c>
      <c r="AH785">
        <v>1</v>
      </c>
      <c r="AI785" t="s">
        <v>499</v>
      </c>
      <c r="AJ785">
        <v>35.802813</v>
      </c>
      <c r="AK785" t="s">
        <v>500</v>
      </c>
      <c r="AL785">
        <v>-83.950868</v>
      </c>
      <c r="AM785">
        <v>25</v>
      </c>
      <c r="AN785">
        <v>1575</v>
      </c>
      <c r="AO785" t="s">
        <v>118</v>
      </c>
      <c r="AP785">
        <v>-89</v>
      </c>
      <c r="AQ785">
        <v>80</v>
      </c>
      <c r="AR785">
        <v>-64</v>
      </c>
      <c r="AZ785">
        <v>300</v>
      </c>
      <c r="BA785">
        <v>1</v>
      </c>
      <c r="BB785" t="str">
        <f t="shared" si="38"/>
        <v xml:space="preserve">N162AM  </v>
      </c>
      <c r="BC785">
        <v>1</v>
      </c>
      <c r="BE785">
        <v>0</v>
      </c>
      <c r="BF785">
        <v>0</v>
      </c>
      <c r="BG785">
        <v>0</v>
      </c>
      <c r="BH785">
        <v>1825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>"14:46:02.532"</f>
        <v>14:46:02.532</v>
      </c>
      <c r="CJ785">
        <v>2</v>
      </c>
      <c r="CK785">
        <v>2</v>
      </c>
      <c r="CL785">
        <v>0</v>
      </c>
      <c r="CM785">
        <v>2</v>
      </c>
      <c r="CN785">
        <v>0</v>
      </c>
      <c r="CO785">
        <v>5</v>
      </c>
      <c r="CP785" t="s">
        <v>119</v>
      </c>
      <c r="CQ785">
        <v>232</v>
      </c>
      <c r="CR785">
        <v>2</v>
      </c>
      <c r="CW785">
        <v>6332175</v>
      </c>
      <c r="CY785">
        <v>1</v>
      </c>
      <c r="CZ785">
        <v>0</v>
      </c>
      <c r="DA785">
        <v>0</v>
      </c>
      <c r="DB785">
        <v>0</v>
      </c>
      <c r="DC785">
        <v>0</v>
      </c>
      <c r="DD785">
        <v>1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"12/16/2021 14:46:02.725"</f>
        <v>12/16/2021 14:46:02.725</v>
      </c>
      <c r="C786" t="str">
        <f t="shared" si="37"/>
        <v>FFDFD3C0</v>
      </c>
      <c r="D786" t="s">
        <v>133</v>
      </c>
      <c r="E786">
        <v>44</v>
      </c>
      <c r="H786">
        <v>131</v>
      </c>
      <c r="I786" t="s">
        <v>134</v>
      </c>
      <c r="J786" t="s">
        <v>135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"14:46:02.531"</f>
        <v>14:46:02.531</v>
      </c>
      <c r="T786" t="str">
        <f>"14:46:02.131"</f>
        <v>14:46:02.131</v>
      </c>
      <c r="U786" t="str">
        <f t="shared" si="36"/>
        <v>A0F928</v>
      </c>
      <c r="V786">
        <v>0</v>
      </c>
      <c r="W786">
        <v>0</v>
      </c>
      <c r="X786">
        <v>2</v>
      </c>
      <c r="Z786">
        <v>0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1</v>
      </c>
      <c r="AI786" t="s">
        <v>499</v>
      </c>
      <c r="AJ786">
        <v>35.802813</v>
      </c>
      <c r="AK786" t="s">
        <v>500</v>
      </c>
      <c r="AL786">
        <v>-83.950868</v>
      </c>
      <c r="AM786">
        <v>25</v>
      </c>
      <c r="AN786">
        <v>1575</v>
      </c>
      <c r="AO786" t="s">
        <v>118</v>
      </c>
      <c r="AP786">
        <v>-89</v>
      </c>
      <c r="AQ786">
        <v>80</v>
      </c>
      <c r="AR786">
        <v>-64</v>
      </c>
      <c r="AZ786">
        <v>300</v>
      </c>
      <c r="BA786">
        <v>1</v>
      </c>
      <c r="BB786" t="str">
        <f t="shared" si="38"/>
        <v xml:space="preserve">N162AM  </v>
      </c>
      <c r="BC786">
        <v>1</v>
      </c>
      <c r="BE786">
        <v>0</v>
      </c>
      <c r="BF786">
        <v>0</v>
      </c>
      <c r="BG786">
        <v>0</v>
      </c>
      <c r="BH786">
        <v>1825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>"14:46:02.532"</f>
        <v>14:46:02.532</v>
      </c>
      <c r="CJ786">
        <v>3</v>
      </c>
      <c r="CK786">
        <v>2</v>
      </c>
      <c r="CL786">
        <v>0</v>
      </c>
      <c r="CM786">
        <v>2</v>
      </c>
      <c r="CN786">
        <v>0</v>
      </c>
      <c r="CO786">
        <v>5</v>
      </c>
      <c r="CP786" t="s">
        <v>119</v>
      </c>
      <c r="CQ786">
        <v>232</v>
      </c>
      <c r="CR786">
        <v>2</v>
      </c>
      <c r="CW786">
        <v>6332175</v>
      </c>
      <c r="CY786">
        <v>1</v>
      </c>
      <c r="CZ786">
        <v>0</v>
      </c>
      <c r="DA786">
        <v>1</v>
      </c>
      <c r="DB786">
        <v>0</v>
      </c>
      <c r="DC786">
        <v>0</v>
      </c>
      <c r="DD786">
        <v>1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"12/16/2021 14:46:02.787"</f>
        <v>12/16/2021 14:46:02.787</v>
      </c>
      <c r="C787" t="str">
        <f t="shared" si="37"/>
        <v>FFDFD3C0</v>
      </c>
      <c r="D787" t="s">
        <v>113</v>
      </c>
      <c r="E787">
        <v>8</v>
      </c>
      <c r="H787">
        <v>176</v>
      </c>
      <c r="I787" t="s">
        <v>114</v>
      </c>
      <c r="J787" t="s">
        <v>115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"14:46:02.531"</f>
        <v>14:46:02.531</v>
      </c>
      <c r="T787" t="str">
        <f>"14:46:02.131"</f>
        <v>14:46:02.131</v>
      </c>
      <c r="U787" t="str">
        <f t="shared" si="36"/>
        <v>A0F928</v>
      </c>
      <c r="V787">
        <v>0</v>
      </c>
      <c r="W787">
        <v>0</v>
      </c>
      <c r="X787">
        <v>2</v>
      </c>
      <c r="Z787">
        <v>0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1</v>
      </c>
      <c r="AI787" t="s">
        <v>499</v>
      </c>
      <c r="AJ787">
        <v>35.802813</v>
      </c>
      <c r="AK787" t="s">
        <v>500</v>
      </c>
      <c r="AL787">
        <v>-83.950868</v>
      </c>
      <c r="AM787">
        <v>25</v>
      </c>
      <c r="AN787">
        <v>1575</v>
      </c>
      <c r="AO787" t="s">
        <v>118</v>
      </c>
      <c r="AP787">
        <v>-89</v>
      </c>
      <c r="AQ787">
        <v>80</v>
      </c>
      <c r="AR787">
        <v>-64</v>
      </c>
      <c r="AZ787">
        <v>300</v>
      </c>
      <c r="BA787">
        <v>1</v>
      </c>
      <c r="BB787" t="str">
        <f t="shared" si="38"/>
        <v xml:space="preserve">N162AM  </v>
      </c>
      <c r="BC787">
        <v>1</v>
      </c>
      <c r="BE787">
        <v>0</v>
      </c>
      <c r="BF787">
        <v>0</v>
      </c>
      <c r="BG787">
        <v>0</v>
      </c>
      <c r="BH787">
        <v>1825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>"14:46:02.532"</f>
        <v>14:46:02.532</v>
      </c>
      <c r="CJ787">
        <v>3</v>
      </c>
      <c r="CK787">
        <v>2</v>
      </c>
      <c r="CL787">
        <v>0</v>
      </c>
      <c r="CM787">
        <v>2</v>
      </c>
      <c r="CN787">
        <v>0</v>
      </c>
      <c r="CO787">
        <v>5</v>
      </c>
      <c r="CP787" t="s">
        <v>119</v>
      </c>
      <c r="CQ787">
        <v>232</v>
      </c>
      <c r="CR787">
        <v>2</v>
      </c>
      <c r="CW787">
        <v>6332175</v>
      </c>
      <c r="CY787">
        <v>1</v>
      </c>
      <c r="CZ787">
        <v>0</v>
      </c>
      <c r="DA787">
        <v>1</v>
      </c>
      <c r="DB787">
        <v>0</v>
      </c>
      <c r="DC787">
        <v>0</v>
      </c>
      <c r="DD787">
        <v>1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"12/16/2021 14:46:02.787"</f>
        <v>12/16/2021 14:46:02.787</v>
      </c>
      <c r="C788" t="str">
        <f t="shared" si="37"/>
        <v>FFDFD3C0</v>
      </c>
      <c r="D788" t="s">
        <v>124</v>
      </c>
      <c r="E788">
        <v>5</v>
      </c>
      <c r="F788">
        <v>1005</v>
      </c>
      <c r="G788" t="s">
        <v>114</v>
      </c>
      <c r="J788" t="s">
        <v>125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"14:46:02.531"</f>
        <v>14:46:02.531</v>
      </c>
      <c r="T788" t="str">
        <f>"14:46:02.131"</f>
        <v>14:46:02.131</v>
      </c>
      <c r="U788" t="str">
        <f t="shared" si="36"/>
        <v>A0F928</v>
      </c>
      <c r="V788">
        <v>0</v>
      </c>
      <c r="W788">
        <v>0</v>
      </c>
      <c r="X788">
        <v>2</v>
      </c>
      <c r="Z788">
        <v>0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1</v>
      </c>
      <c r="AI788" t="s">
        <v>499</v>
      </c>
      <c r="AJ788">
        <v>35.802813</v>
      </c>
      <c r="AK788" t="s">
        <v>500</v>
      </c>
      <c r="AL788">
        <v>-83.950868</v>
      </c>
      <c r="AM788">
        <v>25</v>
      </c>
      <c r="AN788">
        <v>1575</v>
      </c>
      <c r="AO788" t="s">
        <v>118</v>
      </c>
      <c r="AP788">
        <v>-89</v>
      </c>
      <c r="AQ788">
        <v>80</v>
      </c>
      <c r="AR788">
        <v>-64</v>
      </c>
      <c r="AZ788">
        <v>300</v>
      </c>
      <c r="BA788">
        <v>1</v>
      </c>
      <c r="BB788" t="str">
        <f t="shared" si="38"/>
        <v xml:space="preserve">N162AM  </v>
      </c>
      <c r="BC788">
        <v>1</v>
      </c>
      <c r="BE788">
        <v>0</v>
      </c>
      <c r="BF788">
        <v>0</v>
      </c>
      <c r="BG788">
        <v>0</v>
      </c>
      <c r="BH788">
        <v>1825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>"14:46:02.532"</f>
        <v>14:46:02.532</v>
      </c>
      <c r="CJ788">
        <v>3</v>
      </c>
      <c r="CK788">
        <v>2</v>
      </c>
      <c r="CL788">
        <v>0</v>
      </c>
      <c r="CM788">
        <v>2</v>
      </c>
      <c r="CN788">
        <v>0</v>
      </c>
      <c r="CO788">
        <v>5</v>
      </c>
      <c r="CP788" t="s">
        <v>119</v>
      </c>
      <c r="CQ788">
        <v>232</v>
      </c>
      <c r="CR788">
        <v>2</v>
      </c>
      <c r="CW788">
        <v>6332175</v>
      </c>
      <c r="CY788">
        <v>1</v>
      </c>
      <c r="CZ788">
        <v>0</v>
      </c>
      <c r="DA788">
        <v>1</v>
      </c>
      <c r="DB788">
        <v>0</v>
      </c>
      <c r="DC788">
        <v>0</v>
      </c>
      <c r="DD788">
        <v>1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"12/16/2021 14:46:03.584"</f>
        <v>12/16/2021 14:46:03.584</v>
      </c>
      <c r="C789" t="str">
        <f t="shared" si="37"/>
        <v>FFDFD3C0</v>
      </c>
      <c r="D789" t="s">
        <v>124</v>
      </c>
      <c r="E789">
        <v>10</v>
      </c>
      <c r="F789">
        <v>1010</v>
      </c>
      <c r="G789" t="s">
        <v>130</v>
      </c>
      <c r="J789" t="s">
        <v>125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"14:46:03.375"</f>
        <v>14:46:03.375</v>
      </c>
      <c r="T789" t="str">
        <f>"14:46:02.575"</f>
        <v>14:46:02.575</v>
      </c>
      <c r="U789" t="str">
        <f t="shared" si="36"/>
        <v>A0F928</v>
      </c>
      <c r="V789">
        <v>0</v>
      </c>
      <c r="W789">
        <v>0</v>
      </c>
      <c r="X789">
        <v>2</v>
      </c>
      <c r="Z789">
        <v>0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0</v>
      </c>
      <c r="AG789">
        <v>2</v>
      </c>
      <c r="AH789">
        <v>1</v>
      </c>
      <c r="AI789" t="s">
        <v>501</v>
      </c>
      <c r="AJ789">
        <v>35.803156000000001</v>
      </c>
      <c r="AK789" t="s">
        <v>502</v>
      </c>
      <c r="AL789">
        <v>-83.951340000000002</v>
      </c>
      <c r="AM789">
        <v>25</v>
      </c>
      <c r="AN789">
        <v>1575</v>
      </c>
      <c r="AO789" t="s">
        <v>118</v>
      </c>
      <c r="AP789">
        <v>-88</v>
      </c>
      <c r="AQ789">
        <v>82</v>
      </c>
      <c r="AR789">
        <v>-128</v>
      </c>
      <c r="AZ789">
        <v>300</v>
      </c>
      <c r="BA789">
        <v>1</v>
      </c>
      <c r="BB789" t="str">
        <f t="shared" si="38"/>
        <v xml:space="preserve">N162AM  </v>
      </c>
      <c r="BC789">
        <v>1</v>
      </c>
      <c r="BE789">
        <v>0</v>
      </c>
      <c r="BF789">
        <v>0</v>
      </c>
      <c r="BG789">
        <v>0</v>
      </c>
      <c r="BH789">
        <v>1825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>"14:46:03.381"</f>
        <v>14:46:03.381</v>
      </c>
      <c r="CJ789">
        <v>2</v>
      </c>
      <c r="CK789">
        <v>2</v>
      </c>
      <c r="CL789">
        <v>0</v>
      </c>
      <c r="CM789">
        <v>2</v>
      </c>
      <c r="CN789">
        <v>0</v>
      </c>
      <c r="CO789">
        <v>2</v>
      </c>
      <c r="CP789" t="s">
        <v>119</v>
      </c>
      <c r="CQ789">
        <v>216</v>
      </c>
      <c r="CR789">
        <v>0</v>
      </c>
      <c r="CW789">
        <v>577167</v>
      </c>
      <c r="CY789">
        <v>1</v>
      </c>
      <c r="CZ789">
        <v>0</v>
      </c>
      <c r="DA789">
        <v>0</v>
      </c>
      <c r="DB789">
        <v>0</v>
      </c>
      <c r="DC789">
        <v>0</v>
      </c>
      <c r="DD789">
        <v>1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"12/16/2021 14:46:03.584"</f>
        <v>12/16/2021 14:46:03.584</v>
      </c>
      <c r="C790" t="str">
        <f t="shared" si="37"/>
        <v>FFDFD3C0</v>
      </c>
      <c r="D790" t="s">
        <v>133</v>
      </c>
      <c r="E790">
        <v>44</v>
      </c>
      <c r="H790">
        <v>131</v>
      </c>
      <c r="I790" t="s">
        <v>134</v>
      </c>
      <c r="J790" t="s">
        <v>135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"14:46:03.375"</f>
        <v>14:46:03.375</v>
      </c>
      <c r="T790" t="str">
        <f>"14:46:02.575"</f>
        <v>14:46:02.575</v>
      </c>
      <c r="U790" t="str">
        <f t="shared" si="36"/>
        <v>A0F928</v>
      </c>
      <c r="V790">
        <v>0</v>
      </c>
      <c r="W790">
        <v>0</v>
      </c>
      <c r="X790">
        <v>2</v>
      </c>
      <c r="Z790">
        <v>0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1</v>
      </c>
      <c r="AI790" t="s">
        <v>501</v>
      </c>
      <c r="AJ790">
        <v>35.803156000000001</v>
      </c>
      <c r="AK790" t="s">
        <v>502</v>
      </c>
      <c r="AL790">
        <v>-83.951340000000002</v>
      </c>
      <c r="AM790">
        <v>25</v>
      </c>
      <c r="AN790">
        <v>1575</v>
      </c>
      <c r="AO790" t="s">
        <v>118</v>
      </c>
      <c r="AP790">
        <v>-88</v>
      </c>
      <c r="AQ790">
        <v>82</v>
      </c>
      <c r="AR790">
        <v>-128</v>
      </c>
      <c r="AZ790">
        <v>300</v>
      </c>
      <c r="BA790">
        <v>1</v>
      </c>
      <c r="BB790" t="str">
        <f t="shared" si="38"/>
        <v xml:space="preserve">N162AM  </v>
      </c>
      <c r="BC790">
        <v>1</v>
      </c>
      <c r="BE790">
        <v>0</v>
      </c>
      <c r="BF790">
        <v>0</v>
      </c>
      <c r="BG790">
        <v>0</v>
      </c>
      <c r="BH790">
        <v>1825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>"14:46:03.381"</f>
        <v>14:46:03.381</v>
      </c>
      <c r="CJ790">
        <v>3</v>
      </c>
      <c r="CK790">
        <v>2</v>
      </c>
      <c r="CL790">
        <v>0</v>
      </c>
      <c r="CM790">
        <v>2</v>
      </c>
      <c r="CN790">
        <v>0</v>
      </c>
      <c r="CO790">
        <v>2</v>
      </c>
      <c r="CP790" t="s">
        <v>119</v>
      </c>
      <c r="CQ790">
        <v>216</v>
      </c>
      <c r="CR790">
        <v>0</v>
      </c>
      <c r="CW790">
        <v>577167</v>
      </c>
      <c r="CY790">
        <v>1</v>
      </c>
      <c r="CZ790">
        <v>0</v>
      </c>
      <c r="DA790">
        <v>1</v>
      </c>
      <c r="DB790">
        <v>0</v>
      </c>
      <c r="DC790">
        <v>0</v>
      </c>
      <c r="DD790">
        <v>1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"12/16/2021 14:46:03.584"</f>
        <v>12/16/2021 14:46:03.584</v>
      </c>
      <c r="C791" t="str">
        <f t="shared" si="37"/>
        <v>FFDFD3C0</v>
      </c>
      <c r="D791" t="s">
        <v>124</v>
      </c>
      <c r="E791">
        <v>5</v>
      </c>
      <c r="F791">
        <v>1005</v>
      </c>
      <c r="G791" t="s">
        <v>114</v>
      </c>
      <c r="J791" t="s">
        <v>125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"14:46:03.375"</f>
        <v>14:46:03.375</v>
      </c>
      <c r="T791" t="str">
        <f>"14:46:02.575"</f>
        <v>14:46:02.575</v>
      </c>
      <c r="U791" t="str">
        <f t="shared" si="36"/>
        <v>A0F928</v>
      </c>
      <c r="V791">
        <v>0</v>
      </c>
      <c r="W791">
        <v>0</v>
      </c>
      <c r="X791">
        <v>2</v>
      </c>
      <c r="Z791">
        <v>0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1</v>
      </c>
      <c r="AI791" t="s">
        <v>501</v>
      </c>
      <c r="AJ791">
        <v>35.803156000000001</v>
      </c>
      <c r="AK791" t="s">
        <v>502</v>
      </c>
      <c r="AL791">
        <v>-83.951340000000002</v>
      </c>
      <c r="AM791">
        <v>25</v>
      </c>
      <c r="AN791">
        <v>1575</v>
      </c>
      <c r="AO791" t="s">
        <v>118</v>
      </c>
      <c r="AP791">
        <v>-88</v>
      </c>
      <c r="AQ791">
        <v>82</v>
      </c>
      <c r="AR791">
        <v>-128</v>
      </c>
      <c r="AZ791">
        <v>300</v>
      </c>
      <c r="BA791">
        <v>1</v>
      </c>
      <c r="BB791" t="str">
        <f t="shared" si="38"/>
        <v xml:space="preserve">N162AM  </v>
      </c>
      <c r="BC791">
        <v>1</v>
      </c>
      <c r="BE791">
        <v>0</v>
      </c>
      <c r="BF791">
        <v>0</v>
      </c>
      <c r="BG791">
        <v>0</v>
      </c>
      <c r="BH791">
        <v>1825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>"14:46:03.381"</f>
        <v>14:46:03.381</v>
      </c>
      <c r="CJ791">
        <v>3</v>
      </c>
      <c r="CK791">
        <v>2</v>
      </c>
      <c r="CL791">
        <v>0</v>
      </c>
      <c r="CM791">
        <v>2</v>
      </c>
      <c r="CN791">
        <v>0</v>
      </c>
      <c r="CO791">
        <v>2</v>
      </c>
      <c r="CP791" t="s">
        <v>119</v>
      </c>
      <c r="CQ791">
        <v>216</v>
      </c>
      <c r="CR791">
        <v>0</v>
      </c>
      <c r="CW791">
        <v>577167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1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"12/16/2021 14:46:03.584"</f>
        <v>12/16/2021 14:46:03.584</v>
      </c>
      <c r="C792" t="str">
        <f t="shared" si="37"/>
        <v>FFDFD3C0</v>
      </c>
      <c r="D792" t="s">
        <v>113</v>
      </c>
      <c r="E792">
        <v>8</v>
      </c>
      <c r="H792">
        <v>176</v>
      </c>
      <c r="I792" t="s">
        <v>114</v>
      </c>
      <c r="J792" t="s">
        <v>115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"14:46:03.375"</f>
        <v>14:46:03.375</v>
      </c>
      <c r="T792" t="str">
        <f>"14:46:02.575"</f>
        <v>14:46:02.575</v>
      </c>
      <c r="U792" t="str">
        <f t="shared" si="36"/>
        <v>A0F928</v>
      </c>
      <c r="V792">
        <v>0</v>
      </c>
      <c r="W792">
        <v>0</v>
      </c>
      <c r="X792">
        <v>2</v>
      </c>
      <c r="Z792">
        <v>0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1</v>
      </c>
      <c r="AI792" t="s">
        <v>501</v>
      </c>
      <c r="AJ792">
        <v>35.803156000000001</v>
      </c>
      <c r="AK792" t="s">
        <v>502</v>
      </c>
      <c r="AL792">
        <v>-83.951340000000002</v>
      </c>
      <c r="AM792">
        <v>25</v>
      </c>
      <c r="AN792">
        <v>1575</v>
      </c>
      <c r="AO792" t="s">
        <v>118</v>
      </c>
      <c r="AP792">
        <v>-88</v>
      </c>
      <c r="AQ792">
        <v>82</v>
      </c>
      <c r="AR792">
        <v>-128</v>
      </c>
      <c r="AZ792">
        <v>300</v>
      </c>
      <c r="BA792">
        <v>1</v>
      </c>
      <c r="BB792" t="str">
        <f t="shared" si="38"/>
        <v xml:space="preserve">N162AM  </v>
      </c>
      <c r="BC792">
        <v>1</v>
      </c>
      <c r="BE792">
        <v>0</v>
      </c>
      <c r="BF792">
        <v>0</v>
      </c>
      <c r="BG792">
        <v>0</v>
      </c>
      <c r="BH792">
        <v>1825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>"14:46:03.381"</f>
        <v>14:46:03.381</v>
      </c>
      <c r="CJ792">
        <v>3</v>
      </c>
      <c r="CK792">
        <v>2</v>
      </c>
      <c r="CL792">
        <v>0</v>
      </c>
      <c r="CM792">
        <v>2</v>
      </c>
      <c r="CN792">
        <v>0</v>
      </c>
      <c r="CO792">
        <v>2</v>
      </c>
      <c r="CP792" t="s">
        <v>119</v>
      </c>
      <c r="CQ792">
        <v>216</v>
      </c>
      <c r="CR792">
        <v>0</v>
      </c>
      <c r="CW792">
        <v>577167</v>
      </c>
      <c r="CY792">
        <v>1</v>
      </c>
      <c r="CZ792">
        <v>0</v>
      </c>
      <c r="DA792">
        <v>1</v>
      </c>
      <c r="DB792">
        <v>0</v>
      </c>
      <c r="DC792">
        <v>0</v>
      </c>
      <c r="DD792">
        <v>1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"12/16/2021 14:46:04.539"</f>
        <v>12/16/2021 14:46:04.539</v>
      </c>
      <c r="C793" t="str">
        <f t="shared" si="37"/>
        <v>FFDFD3C0</v>
      </c>
      <c r="D793" t="s">
        <v>133</v>
      </c>
      <c r="E793">
        <v>44</v>
      </c>
      <c r="H793">
        <v>131</v>
      </c>
      <c r="I793" t="s">
        <v>134</v>
      </c>
      <c r="J793" t="s">
        <v>135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"14:46:04.352"</f>
        <v>14:46:04.352</v>
      </c>
      <c r="T793" t="str">
        <f>"14:46:02.552"</f>
        <v>14:46:02.552</v>
      </c>
      <c r="U793" t="str">
        <f t="shared" si="36"/>
        <v>A0F928</v>
      </c>
      <c r="V793">
        <v>0</v>
      </c>
      <c r="W793">
        <v>0</v>
      </c>
      <c r="X793">
        <v>2</v>
      </c>
      <c r="Z793">
        <v>0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1</v>
      </c>
      <c r="AI793" t="s">
        <v>503</v>
      </c>
      <c r="AJ793">
        <v>35.803628000000003</v>
      </c>
      <c r="AK793" t="s">
        <v>504</v>
      </c>
      <c r="AL793">
        <v>-83.951790000000003</v>
      </c>
      <c r="AM793">
        <v>25</v>
      </c>
      <c r="AN793">
        <v>1575</v>
      </c>
      <c r="AO793" t="s">
        <v>118</v>
      </c>
      <c r="AP793">
        <v>-88</v>
      </c>
      <c r="AQ793">
        <v>82</v>
      </c>
      <c r="AR793">
        <v>-128</v>
      </c>
      <c r="AZ793">
        <v>300</v>
      </c>
      <c r="BA793">
        <v>1</v>
      </c>
      <c r="BB793" t="str">
        <f t="shared" si="38"/>
        <v xml:space="preserve">N162AM  </v>
      </c>
      <c r="BC793">
        <v>1</v>
      </c>
      <c r="BE793">
        <v>0</v>
      </c>
      <c r="BF793">
        <v>0</v>
      </c>
      <c r="BG793">
        <v>0</v>
      </c>
      <c r="BH793">
        <v>1825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>"14:46:04.357"</f>
        <v>14:46:04.357</v>
      </c>
      <c r="CJ793">
        <v>3</v>
      </c>
      <c r="CK793">
        <v>2</v>
      </c>
      <c r="CL793">
        <v>0</v>
      </c>
      <c r="CM793">
        <v>2</v>
      </c>
      <c r="CN793">
        <v>0</v>
      </c>
      <c r="CO793">
        <v>2</v>
      </c>
      <c r="CP793" t="s">
        <v>119</v>
      </c>
      <c r="CQ793">
        <v>216</v>
      </c>
      <c r="CR793">
        <v>0</v>
      </c>
      <c r="CW793">
        <v>578405</v>
      </c>
      <c r="CY793">
        <v>1</v>
      </c>
      <c r="CZ793">
        <v>0</v>
      </c>
      <c r="DA793">
        <v>0</v>
      </c>
      <c r="DB793">
        <v>0</v>
      </c>
      <c r="DC793">
        <v>0</v>
      </c>
      <c r="DD793">
        <v>1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"12/16/2021 14:46:04.539"</f>
        <v>12/16/2021 14:46:04.539</v>
      </c>
      <c r="C794" t="str">
        <f t="shared" si="37"/>
        <v>FFDFD3C0</v>
      </c>
      <c r="D794" t="s">
        <v>124</v>
      </c>
      <c r="E794">
        <v>5</v>
      </c>
      <c r="F794">
        <v>1005</v>
      </c>
      <c r="G794" t="s">
        <v>114</v>
      </c>
      <c r="J794" t="s">
        <v>125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"14:46:04.352"</f>
        <v>14:46:04.352</v>
      </c>
      <c r="T794" t="str">
        <f>"14:46:02.552"</f>
        <v>14:46:02.552</v>
      </c>
      <c r="U794" t="str">
        <f t="shared" si="36"/>
        <v>A0F928</v>
      </c>
      <c r="V794">
        <v>0</v>
      </c>
      <c r="W794">
        <v>0</v>
      </c>
      <c r="X794">
        <v>2</v>
      </c>
      <c r="Z794">
        <v>0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1</v>
      </c>
      <c r="AI794" t="s">
        <v>503</v>
      </c>
      <c r="AJ794">
        <v>35.803628000000003</v>
      </c>
      <c r="AK794" t="s">
        <v>504</v>
      </c>
      <c r="AL794">
        <v>-83.951790000000003</v>
      </c>
      <c r="AM794">
        <v>25</v>
      </c>
      <c r="AN794">
        <v>1575</v>
      </c>
      <c r="AO794" t="s">
        <v>118</v>
      </c>
      <c r="AP794">
        <v>-88</v>
      </c>
      <c r="AQ794">
        <v>82</v>
      </c>
      <c r="AR794">
        <v>-128</v>
      </c>
      <c r="AZ794">
        <v>300</v>
      </c>
      <c r="BA794">
        <v>1</v>
      </c>
      <c r="BB794" t="str">
        <f t="shared" si="38"/>
        <v xml:space="preserve">N162AM  </v>
      </c>
      <c r="BC794">
        <v>1</v>
      </c>
      <c r="BE794">
        <v>0</v>
      </c>
      <c r="BF794">
        <v>0</v>
      </c>
      <c r="BG794">
        <v>0</v>
      </c>
      <c r="BH794">
        <v>1825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>"14:46:04.357"</f>
        <v>14:46:04.357</v>
      </c>
      <c r="CJ794">
        <v>3</v>
      </c>
      <c r="CK794">
        <v>2</v>
      </c>
      <c r="CL794">
        <v>0</v>
      </c>
      <c r="CM794">
        <v>2</v>
      </c>
      <c r="CN794">
        <v>0</v>
      </c>
      <c r="CO794">
        <v>2</v>
      </c>
      <c r="CP794" t="s">
        <v>119</v>
      </c>
      <c r="CQ794">
        <v>216</v>
      </c>
      <c r="CR794">
        <v>0</v>
      </c>
      <c r="CW794">
        <v>578405</v>
      </c>
      <c r="CY794">
        <v>1</v>
      </c>
      <c r="CZ794">
        <v>0</v>
      </c>
      <c r="DA794">
        <v>1</v>
      </c>
      <c r="DB794">
        <v>0</v>
      </c>
      <c r="DC794">
        <v>0</v>
      </c>
      <c r="DD794">
        <v>1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"12/16/2021 14:46:04.557"</f>
        <v>12/16/2021 14:46:04.557</v>
      </c>
      <c r="C795" t="str">
        <f t="shared" si="37"/>
        <v>FFDFD3C0</v>
      </c>
      <c r="D795" t="s">
        <v>113</v>
      </c>
      <c r="E795">
        <v>8</v>
      </c>
      <c r="H795">
        <v>176</v>
      </c>
      <c r="I795" t="s">
        <v>114</v>
      </c>
      <c r="J795" t="s">
        <v>115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"14:46:04.352"</f>
        <v>14:46:04.352</v>
      </c>
      <c r="T795" t="str">
        <f>"14:46:02.552"</f>
        <v>14:46:02.552</v>
      </c>
      <c r="U795" t="str">
        <f t="shared" si="36"/>
        <v>A0F928</v>
      </c>
      <c r="V795">
        <v>0</v>
      </c>
      <c r="W795">
        <v>0</v>
      </c>
      <c r="X795">
        <v>2</v>
      </c>
      <c r="Z795">
        <v>0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1</v>
      </c>
      <c r="AI795" t="s">
        <v>503</v>
      </c>
      <c r="AJ795">
        <v>35.803628000000003</v>
      </c>
      <c r="AK795" t="s">
        <v>504</v>
      </c>
      <c r="AL795">
        <v>-83.951790000000003</v>
      </c>
      <c r="AM795">
        <v>25</v>
      </c>
      <c r="AN795">
        <v>1575</v>
      </c>
      <c r="AO795" t="s">
        <v>118</v>
      </c>
      <c r="AP795">
        <v>-88</v>
      </c>
      <c r="AQ795">
        <v>82</v>
      </c>
      <c r="AR795">
        <v>-128</v>
      </c>
      <c r="AZ795">
        <v>300</v>
      </c>
      <c r="BA795">
        <v>1</v>
      </c>
      <c r="BB795" t="str">
        <f t="shared" si="38"/>
        <v xml:space="preserve">N162AM  </v>
      </c>
      <c r="BC795">
        <v>1</v>
      </c>
      <c r="BE795">
        <v>0</v>
      </c>
      <c r="BF795">
        <v>0</v>
      </c>
      <c r="BG795">
        <v>0</v>
      </c>
      <c r="BH795">
        <v>1825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>"14:46:04.357"</f>
        <v>14:46:04.357</v>
      </c>
      <c r="CJ795">
        <v>3</v>
      </c>
      <c r="CK795">
        <v>2</v>
      </c>
      <c r="CL795">
        <v>0</v>
      </c>
      <c r="CM795">
        <v>2</v>
      </c>
      <c r="CN795">
        <v>0</v>
      </c>
      <c r="CO795">
        <v>2</v>
      </c>
      <c r="CP795" t="s">
        <v>119</v>
      </c>
      <c r="CQ795">
        <v>216</v>
      </c>
      <c r="CR795">
        <v>0</v>
      </c>
      <c r="CW795">
        <v>578405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1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"12/16/2021 14:46:04.594"</f>
        <v>12/16/2021 14:46:04.594</v>
      </c>
      <c r="C796" t="str">
        <f t="shared" si="37"/>
        <v>FFDFD3C0</v>
      </c>
      <c r="D796" t="s">
        <v>124</v>
      </c>
      <c r="E796">
        <v>10</v>
      </c>
      <c r="F796">
        <v>1010</v>
      </c>
      <c r="G796" t="s">
        <v>130</v>
      </c>
      <c r="J796" t="s">
        <v>125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"14:46:04.352"</f>
        <v>14:46:04.352</v>
      </c>
      <c r="T796" t="str">
        <f>"14:46:02.552"</f>
        <v>14:46:02.552</v>
      </c>
      <c r="U796" t="str">
        <f t="shared" si="36"/>
        <v>A0F928</v>
      </c>
      <c r="V796">
        <v>0</v>
      </c>
      <c r="W796">
        <v>0</v>
      </c>
      <c r="X796">
        <v>2</v>
      </c>
      <c r="Z796">
        <v>0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0</v>
      </c>
      <c r="AG796">
        <v>2</v>
      </c>
      <c r="AH796">
        <v>1</v>
      </c>
      <c r="AI796" t="s">
        <v>503</v>
      </c>
      <c r="AJ796">
        <v>35.803628000000003</v>
      </c>
      <c r="AK796" t="s">
        <v>504</v>
      </c>
      <c r="AL796">
        <v>-83.951790000000003</v>
      </c>
      <c r="AM796">
        <v>25</v>
      </c>
      <c r="AN796">
        <v>1575</v>
      </c>
      <c r="AO796" t="s">
        <v>118</v>
      </c>
      <c r="AP796">
        <v>-88</v>
      </c>
      <c r="AQ796">
        <v>82</v>
      </c>
      <c r="AR796">
        <v>-128</v>
      </c>
      <c r="AZ796">
        <v>300</v>
      </c>
      <c r="BA796">
        <v>1</v>
      </c>
      <c r="BB796" t="str">
        <f t="shared" si="38"/>
        <v xml:space="preserve">N162AM  </v>
      </c>
      <c r="BC796">
        <v>1</v>
      </c>
      <c r="BE796">
        <v>0</v>
      </c>
      <c r="BF796">
        <v>0</v>
      </c>
      <c r="BG796">
        <v>0</v>
      </c>
      <c r="BH796">
        <v>1825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>"14:46:04.357"</f>
        <v>14:46:04.357</v>
      </c>
      <c r="CJ796">
        <v>2</v>
      </c>
      <c r="CK796">
        <v>2</v>
      </c>
      <c r="CL796">
        <v>0</v>
      </c>
      <c r="CM796">
        <v>2</v>
      </c>
      <c r="CN796">
        <v>0</v>
      </c>
      <c r="CO796">
        <v>2</v>
      </c>
      <c r="CP796" t="s">
        <v>119</v>
      </c>
      <c r="CQ796">
        <v>216</v>
      </c>
      <c r="CR796">
        <v>0</v>
      </c>
      <c r="CW796">
        <v>578405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1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"12/16/2021 14:46:05.662"</f>
        <v>12/16/2021 14:46:05.662</v>
      </c>
      <c r="C797" t="str">
        <f t="shared" si="37"/>
        <v>FFDFD3C0</v>
      </c>
      <c r="D797" t="s">
        <v>124</v>
      </c>
      <c r="E797">
        <v>5</v>
      </c>
      <c r="F797">
        <v>1005</v>
      </c>
      <c r="G797" t="s">
        <v>114</v>
      </c>
      <c r="J797" t="s">
        <v>125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"14:46:05.414"</f>
        <v>14:46:05.414</v>
      </c>
      <c r="T797" t="str">
        <f>"14:46:04.914"</f>
        <v>14:46:04.914</v>
      </c>
      <c r="U797" t="str">
        <f t="shared" si="36"/>
        <v>A0F928</v>
      </c>
      <c r="V797">
        <v>0</v>
      </c>
      <c r="W797">
        <v>0</v>
      </c>
      <c r="X797">
        <v>2</v>
      </c>
      <c r="Z797">
        <v>0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1</v>
      </c>
      <c r="AI797" t="s">
        <v>505</v>
      </c>
      <c r="AJ797">
        <v>35.804036000000004</v>
      </c>
      <c r="AK797" t="s">
        <v>506</v>
      </c>
      <c r="AL797">
        <v>-83.952197999999996</v>
      </c>
      <c r="AM797">
        <v>25</v>
      </c>
      <c r="AN797">
        <v>1550</v>
      </c>
      <c r="AO797" t="s">
        <v>118</v>
      </c>
      <c r="AP797">
        <v>-78</v>
      </c>
      <c r="AQ797">
        <v>95</v>
      </c>
      <c r="AR797">
        <v>-128</v>
      </c>
      <c r="AZ797">
        <v>300</v>
      </c>
      <c r="BA797">
        <v>1</v>
      </c>
      <c r="BB797" t="str">
        <f t="shared" si="38"/>
        <v xml:space="preserve">N162AM  </v>
      </c>
      <c r="BC797">
        <v>1</v>
      </c>
      <c r="BE797">
        <v>0</v>
      </c>
      <c r="BF797">
        <v>0</v>
      </c>
      <c r="BG797">
        <v>0</v>
      </c>
      <c r="BH797">
        <v>1825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>"14:46:05.419"</f>
        <v>14:46:05.419</v>
      </c>
      <c r="CJ797">
        <v>3</v>
      </c>
      <c r="CK797">
        <v>2</v>
      </c>
      <c r="CL797">
        <v>0</v>
      </c>
      <c r="CM797">
        <v>2</v>
      </c>
      <c r="CN797">
        <v>0</v>
      </c>
      <c r="CO797">
        <v>1</v>
      </c>
      <c r="CP797" t="s">
        <v>119</v>
      </c>
      <c r="CQ797">
        <v>216</v>
      </c>
      <c r="CR797">
        <v>0</v>
      </c>
      <c r="CW797">
        <v>579871</v>
      </c>
      <c r="CY797">
        <v>1</v>
      </c>
      <c r="CZ797">
        <v>0</v>
      </c>
      <c r="DA797">
        <v>0</v>
      </c>
      <c r="DB797">
        <v>0</v>
      </c>
      <c r="DC797">
        <v>0</v>
      </c>
      <c r="DD797">
        <v>1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"12/16/2021 14:46:05.662"</f>
        <v>12/16/2021 14:46:05.662</v>
      </c>
      <c r="C798" t="str">
        <f t="shared" si="37"/>
        <v>FFDFD3C0</v>
      </c>
      <c r="D798" t="s">
        <v>133</v>
      </c>
      <c r="E798">
        <v>44</v>
      </c>
      <c r="H798">
        <v>131</v>
      </c>
      <c r="I798" t="s">
        <v>134</v>
      </c>
      <c r="J798" t="s">
        <v>135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"14:46:05.414"</f>
        <v>14:46:05.414</v>
      </c>
      <c r="T798" t="str">
        <f>"14:46:04.914"</f>
        <v>14:46:04.914</v>
      </c>
      <c r="U798" t="str">
        <f t="shared" si="36"/>
        <v>A0F928</v>
      </c>
      <c r="V798">
        <v>0</v>
      </c>
      <c r="W798">
        <v>0</v>
      </c>
      <c r="X798">
        <v>2</v>
      </c>
      <c r="Z798">
        <v>0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1</v>
      </c>
      <c r="AI798" t="s">
        <v>505</v>
      </c>
      <c r="AJ798">
        <v>35.804036000000004</v>
      </c>
      <c r="AK798" t="s">
        <v>506</v>
      </c>
      <c r="AL798">
        <v>-83.952197999999996</v>
      </c>
      <c r="AM798">
        <v>25</v>
      </c>
      <c r="AN798">
        <v>1550</v>
      </c>
      <c r="AO798" t="s">
        <v>118</v>
      </c>
      <c r="AP798">
        <v>-78</v>
      </c>
      <c r="AQ798">
        <v>95</v>
      </c>
      <c r="AR798">
        <v>-128</v>
      </c>
      <c r="AZ798">
        <v>300</v>
      </c>
      <c r="BA798">
        <v>1</v>
      </c>
      <c r="BB798" t="str">
        <f t="shared" si="38"/>
        <v xml:space="preserve">N162AM  </v>
      </c>
      <c r="BC798">
        <v>1</v>
      </c>
      <c r="BE798">
        <v>0</v>
      </c>
      <c r="BF798">
        <v>0</v>
      </c>
      <c r="BG798">
        <v>0</v>
      </c>
      <c r="BH798">
        <v>1825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>"14:46:05.419"</f>
        <v>14:46:05.419</v>
      </c>
      <c r="CJ798">
        <v>3</v>
      </c>
      <c r="CK798">
        <v>2</v>
      </c>
      <c r="CL798">
        <v>0</v>
      </c>
      <c r="CM798">
        <v>2</v>
      </c>
      <c r="CN798">
        <v>0</v>
      </c>
      <c r="CO798">
        <v>1</v>
      </c>
      <c r="CP798" t="s">
        <v>119</v>
      </c>
      <c r="CQ798">
        <v>216</v>
      </c>
      <c r="CR798">
        <v>0</v>
      </c>
      <c r="CW798">
        <v>579871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1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"12/16/2021 14:46:05.662"</f>
        <v>12/16/2021 14:46:05.662</v>
      </c>
      <c r="C799" t="str">
        <f t="shared" si="37"/>
        <v>FFDFD3C0</v>
      </c>
      <c r="D799" t="s">
        <v>113</v>
      </c>
      <c r="E799">
        <v>8</v>
      </c>
      <c r="H799">
        <v>176</v>
      </c>
      <c r="I799" t="s">
        <v>114</v>
      </c>
      <c r="J799" t="s">
        <v>115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"14:46:05.414"</f>
        <v>14:46:05.414</v>
      </c>
      <c r="T799" t="str">
        <f>"14:46:04.914"</f>
        <v>14:46:04.914</v>
      </c>
      <c r="U799" t="str">
        <f t="shared" si="36"/>
        <v>A0F928</v>
      </c>
      <c r="V799">
        <v>0</v>
      </c>
      <c r="W799">
        <v>0</v>
      </c>
      <c r="X799">
        <v>2</v>
      </c>
      <c r="Z799">
        <v>0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1</v>
      </c>
      <c r="AI799" t="s">
        <v>505</v>
      </c>
      <c r="AJ799">
        <v>35.804036000000004</v>
      </c>
      <c r="AK799" t="s">
        <v>506</v>
      </c>
      <c r="AL799">
        <v>-83.952197999999996</v>
      </c>
      <c r="AM799">
        <v>25</v>
      </c>
      <c r="AN799">
        <v>1550</v>
      </c>
      <c r="AO799" t="s">
        <v>118</v>
      </c>
      <c r="AP799">
        <v>-78</v>
      </c>
      <c r="AQ799">
        <v>95</v>
      </c>
      <c r="AR799">
        <v>-128</v>
      </c>
      <c r="AZ799">
        <v>300</v>
      </c>
      <c r="BA799">
        <v>1</v>
      </c>
      <c r="BB799" t="str">
        <f t="shared" si="38"/>
        <v xml:space="preserve">N162AM  </v>
      </c>
      <c r="BC799">
        <v>1</v>
      </c>
      <c r="BE799">
        <v>0</v>
      </c>
      <c r="BF799">
        <v>0</v>
      </c>
      <c r="BG799">
        <v>0</v>
      </c>
      <c r="BH799">
        <v>1825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>"14:46:05.419"</f>
        <v>14:46:05.419</v>
      </c>
      <c r="CJ799">
        <v>3</v>
      </c>
      <c r="CK799">
        <v>2</v>
      </c>
      <c r="CL799">
        <v>0</v>
      </c>
      <c r="CM799">
        <v>2</v>
      </c>
      <c r="CN799">
        <v>0</v>
      </c>
      <c r="CO799">
        <v>1</v>
      </c>
      <c r="CP799" t="s">
        <v>119</v>
      </c>
      <c r="CQ799">
        <v>216</v>
      </c>
      <c r="CR799">
        <v>0</v>
      </c>
      <c r="CW799">
        <v>579871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1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"12/16/2021 14:46:05.662"</f>
        <v>12/16/2021 14:46:05.662</v>
      </c>
      <c r="C800" t="str">
        <f t="shared" si="37"/>
        <v>FFDFD3C0</v>
      </c>
      <c r="D800" t="s">
        <v>124</v>
      </c>
      <c r="E800">
        <v>10</v>
      </c>
      <c r="F800">
        <v>1010</v>
      </c>
      <c r="G800" t="s">
        <v>130</v>
      </c>
      <c r="J800" t="s">
        <v>125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"14:46:05.414"</f>
        <v>14:46:05.414</v>
      </c>
      <c r="T800" t="str">
        <f>"14:46:04.914"</f>
        <v>14:46:04.914</v>
      </c>
      <c r="U800" t="str">
        <f t="shared" si="36"/>
        <v>A0F928</v>
      </c>
      <c r="V800">
        <v>0</v>
      </c>
      <c r="W800">
        <v>0</v>
      </c>
      <c r="X800">
        <v>2</v>
      </c>
      <c r="Z800">
        <v>0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1</v>
      </c>
      <c r="AI800" t="s">
        <v>505</v>
      </c>
      <c r="AJ800">
        <v>35.804036000000004</v>
      </c>
      <c r="AK800" t="s">
        <v>506</v>
      </c>
      <c r="AL800">
        <v>-83.952197999999996</v>
      </c>
      <c r="AM800">
        <v>25</v>
      </c>
      <c r="AN800">
        <v>1550</v>
      </c>
      <c r="AO800" t="s">
        <v>118</v>
      </c>
      <c r="AP800">
        <v>-78</v>
      </c>
      <c r="AQ800">
        <v>95</v>
      </c>
      <c r="AR800">
        <v>-128</v>
      </c>
      <c r="AZ800">
        <v>300</v>
      </c>
      <c r="BA800">
        <v>1</v>
      </c>
      <c r="BB800" t="str">
        <f t="shared" si="38"/>
        <v xml:space="preserve">N162AM  </v>
      </c>
      <c r="BC800">
        <v>1</v>
      </c>
      <c r="BE800">
        <v>0</v>
      </c>
      <c r="BF800">
        <v>0</v>
      </c>
      <c r="BG800">
        <v>0</v>
      </c>
      <c r="BH800">
        <v>1825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>"14:46:05.419"</f>
        <v>14:46:05.419</v>
      </c>
      <c r="CJ800">
        <v>3</v>
      </c>
      <c r="CK800">
        <v>2</v>
      </c>
      <c r="CL800">
        <v>0</v>
      </c>
      <c r="CM800">
        <v>2</v>
      </c>
      <c r="CN800">
        <v>0</v>
      </c>
      <c r="CO800">
        <v>1</v>
      </c>
      <c r="CP800" t="s">
        <v>119</v>
      </c>
      <c r="CQ800">
        <v>216</v>
      </c>
      <c r="CR800">
        <v>0</v>
      </c>
      <c r="CW800">
        <v>579871</v>
      </c>
      <c r="CY800">
        <v>1</v>
      </c>
      <c r="CZ800">
        <v>0</v>
      </c>
      <c r="DA800">
        <v>1</v>
      </c>
      <c r="DB800">
        <v>0</v>
      </c>
      <c r="DC800">
        <v>0</v>
      </c>
      <c r="DD800">
        <v>1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"12/16/2021 14:46:07.022"</f>
        <v>12/16/2021 14:46:07.022</v>
      </c>
      <c r="C801" t="str">
        <f t="shared" si="37"/>
        <v>FFDFD3C0</v>
      </c>
      <c r="D801" t="s">
        <v>124</v>
      </c>
      <c r="E801">
        <v>5</v>
      </c>
      <c r="F801">
        <v>1005</v>
      </c>
      <c r="G801" t="s">
        <v>114</v>
      </c>
      <c r="J801" t="s">
        <v>125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"14:46:06.828"</f>
        <v>14:46:06.828</v>
      </c>
      <c r="T801" t="str">
        <f>"14:46:06.328"</f>
        <v>14:46:06.328</v>
      </c>
      <c r="U801" t="str">
        <f t="shared" si="36"/>
        <v>A0F928</v>
      </c>
      <c r="V801">
        <v>0</v>
      </c>
      <c r="W801">
        <v>0</v>
      </c>
      <c r="X801">
        <v>2</v>
      </c>
      <c r="Z801">
        <v>0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1</v>
      </c>
      <c r="AI801" t="s">
        <v>507</v>
      </c>
      <c r="AJ801">
        <v>35.804721999999998</v>
      </c>
      <c r="AK801" t="s">
        <v>373</v>
      </c>
      <c r="AL801">
        <v>-83.952820000000003</v>
      </c>
      <c r="AM801">
        <v>25</v>
      </c>
      <c r="AN801">
        <v>1550</v>
      </c>
      <c r="AO801" t="s">
        <v>118</v>
      </c>
      <c r="AP801">
        <v>-71</v>
      </c>
      <c r="AQ801">
        <v>101</v>
      </c>
      <c r="AR801">
        <v>-128</v>
      </c>
      <c r="AZ801">
        <v>300</v>
      </c>
      <c r="BA801">
        <v>1</v>
      </c>
      <c r="BB801" t="str">
        <f t="shared" si="38"/>
        <v xml:space="preserve">N162AM  </v>
      </c>
      <c r="BC801">
        <v>1</v>
      </c>
      <c r="BE801">
        <v>0</v>
      </c>
      <c r="BF801">
        <v>0</v>
      </c>
      <c r="BG801">
        <v>0</v>
      </c>
      <c r="BH801">
        <v>1825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>"14:46:06.831"</f>
        <v>14:46:06.831</v>
      </c>
      <c r="CJ801">
        <v>3</v>
      </c>
      <c r="CK801">
        <v>2</v>
      </c>
      <c r="CL801">
        <v>0</v>
      </c>
      <c r="CM801">
        <v>2</v>
      </c>
      <c r="CN801">
        <v>0</v>
      </c>
      <c r="CO801">
        <v>3</v>
      </c>
      <c r="CP801" t="s">
        <v>119</v>
      </c>
      <c r="CQ801">
        <v>232</v>
      </c>
      <c r="CR801">
        <v>3</v>
      </c>
      <c r="CW801">
        <v>16568977</v>
      </c>
      <c r="CY801">
        <v>1</v>
      </c>
      <c r="CZ801">
        <v>0</v>
      </c>
      <c r="DA801">
        <v>0</v>
      </c>
      <c r="DB801">
        <v>0</v>
      </c>
      <c r="DC801">
        <v>0</v>
      </c>
      <c r="DD801">
        <v>1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"12/16/2021 14:46:07.037"</f>
        <v>12/16/2021 14:46:07.037</v>
      </c>
      <c r="C802" t="str">
        <f t="shared" si="37"/>
        <v>FFDFD3C0</v>
      </c>
      <c r="D802" t="s">
        <v>133</v>
      </c>
      <c r="E802">
        <v>44</v>
      </c>
      <c r="H802">
        <v>131</v>
      </c>
      <c r="I802" t="s">
        <v>134</v>
      </c>
      <c r="J802" t="s">
        <v>135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"14:46:06.828"</f>
        <v>14:46:06.828</v>
      </c>
      <c r="T802" t="str">
        <f>"14:46:06.328"</f>
        <v>14:46:06.328</v>
      </c>
      <c r="U802" t="str">
        <f t="shared" si="36"/>
        <v>A0F928</v>
      </c>
      <c r="V802">
        <v>0</v>
      </c>
      <c r="W802">
        <v>0</v>
      </c>
      <c r="X802">
        <v>2</v>
      </c>
      <c r="Z802">
        <v>0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1</v>
      </c>
      <c r="AI802" t="s">
        <v>507</v>
      </c>
      <c r="AJ802">
        <v>35.804721999999998</v>
      </c>
      <c r="AK802" t="s">
        <v>373</v>
      </c>
      <c r="AL802">
        <v>-83.952820000000003</v>
      </c>
      <c r="AM802">
        <v>25</v>
      </c>
      <c r="AN802">
        <v>1550</v>
      </c>
      <c r="AO802" t="s">
        <v>118</v>
      </c>
      <c r="AP802">
        <v>-71</v>
      </c>
      <c r="AQ802">
        <v>101</v>
      </c>
      <c r="AR802">
        <v>-128</v>
      </c>
      <c r="AZ802">
        <v>300</v>
      </c>
      <c r="BA802">
        <v>1</v>
      </c>
      <c r="BB802" t="str">
        <f t="shared" si="38"/>
        <v xml:space="preserve">N162AM  </v>
      </c>
      <c r="BC802">
        <v>1</v>
      </c>
      <c r="BE802">
        <v>0</v>
      </c>
      <c r="BF802">
        <v>0</v>
      </c>
      <c r="BG802">
        <v>0</v>
      </c>
      <c r="BH802">
        <v>1825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>"14:46:06.831"</f>
        <v>14:46:06.831</v>
      </c>
      <c r="CJ802">
        <v>3</v>
      </c>
      <c r="CK802">
        <v>2</v>
      </c>
      <c r="CL802">
        <v>0</v>
      </c>
      <c r="CM802">
        <v>2</v>
      </c>
      <c r="CN802">
        <v>0</v>
      </c>
      <c r="CO802">
        <v>3</v>
      </c>
      <c r="CP802" t="s">
        <v>119</v>
      </c>
      <c r="CQ802">
        <v>232</v>
      </c>
      <c r="CR802">
        <v>3</v>
      </c>
      <c r="CW802">
        <v>16568977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1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"12/16/2021 14:46:07.037"</f>
        <v>12/16/2021 14:46:07.037</v>
      </c>
      <c r="C803" t="str">
        <f t="shared" si="37"/>
        <v>FFDFD3C0</v>
      </c>
      <c r="D803" t="s">
        <v>124</v>
      </c>
      <c r="E803">
        <v>10</v>
      </c>
      <c r="F803">
        <v>1010</v>
      </c>
      <c r="G803" t="s">
        <v>130</v>
      </c>
      <c r="J803" t="s">
        <v>125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"14:46:06.828"</f>
        <v>14:46:06.828</v>
      </c>
      <c r="T803" t="str">
        <f>"14:46:06.328"</f>
        <v>14:46:06.328</v>
      </c>
      <c r="U803" t="str">
        <f t="shared" si="36"/>
        <v>A0F928</v>
      </c>
      <c r="V803">
        <v>0</v>
      </c>
      <c r="W803">
        <v>0</v>
      </c>
      <c r="X803">
        <v>2</v>
      </c>
      <c r="Z803">
        <v>0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2</v>
      </c>
      <c r="AH803">
        <v>1</v>
      </c>
      <c r="AI803" t="s">
        <v>507</v>
      </c>
      <c r="AJ803">
        <v>35.804721999999998</v>
      </c>
      <c r="AK803" t="s">
        <v>373</v>
      </c>
      <c r="AL803">
        <v>-83.952820000000003</v>
      </c>
      <c r="AM803">
        <v>25</v>
      </c>
      <c r="AN803">
        <v>1550</v>
      </c>
      <c r="AO803" t="s">
        <v>118</v>
      </c>
      <c r="AP803">
        <v>-71</v>
      </c>
      <c r="AQ803">
        <v>101</v>
      </c>
      <c r="AR803">
        <v>-128</v>
      </c>
      <c r="AZ803">
        <v>300</v>
      </c>
      <c r="BA803">
        <v>1</v>
      </c>
      <c r="BB803" t="str">
        <f t="shared" si="38"/>
        <v xml:space="preserve">N162AM  </v>
      </c>
      <c r="BC803">
        <v>1</v>
      </c>
      <c r="BE803">
        <v>0</v>
      </c>
      <c r="BF803">
        <v>0</v>
      </c>
      <c r="BG803">
        <v>0</v>
      </c>
      <c r="BH803">
        <v>1825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>"14:46:06.831"</f>
        <v>14:46:06.831</v>
      </c>
      <c r="CJ803">
        <v>3</v>
      </c>
      <c r="CK803">
        <v>2</v>
      </c>
      <c r="CL803">
        <v>0</v>
      </c>
      <c r="CM803">
        <v>2</v>
      </c>
      <c r="CN803">
        <v>0</v>
      </c>
      <c r="CO803">
        <v>3</v>
      </c>
      <c r="CP803" t="s">
        <v>119</v>
      </c>
      <c r="CQ803">
        <v>232</v>
      </c>
      <c r="CR803">
        <v>3</v>
      </c>
      <c r="CW803">
        <v>16568977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1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"12/16/2021 14:46:07.053"</f>
        <v>12/16/2021 14:46:07.053</v>
      </c>
      <c r="C804" t="str">
        <f t="shared" si="37"/>
        <v>FFDFD3C0</v>
      </c>
      <c r="D804" t="s">
        <v>113</v>
      </c>
      <c r="E804">
        <v>8</v>
      </c>
      <c r="H804">
        <v>176</v>
      </c>
      <c r="I804" t="s">
        <v>114</v>
      </c>
      <c r="J804" t="s">
        <v>115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"14:46:06.828"</f>
        <v>14:46:06.828</v>
      </c>
      <c r="T804" t="str">
        <f>"14:46:06.328"</f>
        <v>14:46:06.328</v>
      </c>
      <c r="U804" t="str">
        <f t="shared" si="36"/>
        <v>A0F928</v>
      </c>
      <c r="V804">
        <v>0</v>
      </c>
      <c r="W804">
        <v>0</v>
      </c>
      <c r="X804">
        <v>2</v>
      </c>
      <c r="Z804">
        <v>0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1</v>
      </c>
      <c r="AI804" t="s">
        <v>507</v>
      </c>
      <c r="AJ804">
        <v>35.804721999999998</v>
      </c>
      <c r="AK804" t="s">
        <v>373</v>
      </c>
      <c r="AL804">
        <v>-83.952820000000003</v>
      </c>
      <c r="AM804">
        <v>25</v>
      </c>
      <c r="AN804">
        <v>1550</v>
      </c>
      <c r="AO804" t="s">
        <v>118</v>
      </c>
      <c r="AP804">
        <v>-71</v>
      </c>
      <c r="AQ804">
        <v>101</v>
      </c>
      <c r="AR804">
        <v>-128</v>
      </c>
      <c r="AZ804">
        <v>300</v>
      </c>
      <c r="BA804">
        <v>1</v>
      </c>
      <c r="BB804" t="str">
        <f t="shared" si="38"/>
        <v xml:space="preserve">N162AM  </v>
      </c>
      <c r="BC804">
        <v>1</v>
      </c>
      <c r="BE804">
        <v>0</v>
      </c>
      <c r="BF804">
        <v>0</v>
      </c>
      <c r="BG804">
        <v>0</v>
      </c>
      <c r="BH804">
        <v>1825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>"14:46:06.831"</f>
        <v>14:46:06.831</v>
      </c>
      <c r="CJ804">
        <v>3</v>
      </c>
      <c r="CK804">
        <v>2</v>
      </c>
      <c r="CL804">
        <v>0</v>
      </c>
      <c r="CM804">
        <v>2</v>
      </c>
      <c r="CN804">
        <v>0</v>
      </c>
      <c r="CO804">
        <v>3</v>
      </c>
      <c r="CP804" t="s">
        <v>119</v>
      </c>
      <c r="CQ804">
        <v>232</v>
      </c>
      <c r="CR804">
        <v>3</v>
      </c>
      <c r="CW804">
        <v>16568977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1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"12/16/2021 14:46:08.131"</f>
        <v>12/16/2021 14:46:08.131</v>
      </c>
      <c r="C805" t="str">
        <f t="shared" si="37"/>
        <v>FFDFD3C0</v>
      </c>
      <c r="D805" t="s">
        <v>124</v>
      </c>
      <c r="E805">
        <v>10</v>
      </c>
      <c r="F805">
        <v>1010</v>
      </c>
      <c r="G805" t="s">
        <v>130</v>
      </c>
      <c r="J805" t="s">
        <v>125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"14:46:07.891"</f>
        <v>14:46:07.891</v>
      </c>
      <c r="T805" t="str">
        <f>"14:46:07.391"</f>
        <v>14:46:07.391</v>
      </c>
      <c r="U805" t="str">
        <f t="shared" si="36"/>
        <v>A0F928</v>
      </c>
      <c r="V805">
        <v>0</v>
      </c>
      <c r="W805">
        <v>0</v>
      </c>
      <c r="X805">
        <v>2</v>
      </c>
      <c r="Z805">
        <v>0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2</v>
      </c>
      <c r="AH805">
        <v>1</v>
      </c>
      <c r="AI805" t="s">
        <v>508</v>
      </c>
      <c r="AJ805">
        <v>35.805236999999998</v>
      </c>
      <c r="AK805" t="s">
        <v>509</v>
      </c>
      <c r="AL805">
        <v>-83.953185000000005</v>
      </c>
      <c r="AM805">
        <v>25</v>
      </c>
      <c r="AN805">
        <v>1550</v>
      </c>
      <c r="AO805" t="s">
        <v>118</v>
      </c>
      <c r="AP805">
        <v>-66</v>
      </c>
      <c r="AQ805">
        <v>106</v>
      </c>
      <c r="AR805">
        <v>-128</v>
      </c>
      <c r="AZ805">
        <v>300</v>
      </c>
      <c r="BA805">
        <v>1</v>
      </c>
      <c r="BB805" t="str">
        <f t="shared" si="38"/>
        <v xml:space="preserve">N162AM  </v>
      </c>
      <c r="BC805">
        <v>1</v>
      </c>
      <c r="BE805">
        <v>0</v>
      </c>
      <c r="BF805">
        <v>0</v>
      </c>
      <c r="BG805">
        <v>0</v>
      </c>
      <c r="BH805">
        <v>1800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>"14:46:07.891"</f>
        <v>14:46:07.891</v>
      </c>
      <c r="CJ805">
        <v>3</v>
      </c>
      <c r="CK805">
        <v>2</v>
      </c>
      <c r="CL805">
        <v>0</v>
      </c>
      <c r="CM805">
        <v>2</v>
      </c>
      <c r="CN805">
        <v>0</v>
      </c>
      <c r="CO805">
        <v>7</v>
      </c>
      <c r="CP805" t="s">
        <v>119</v>
      </c>
      <c r="CQ805">
        <v>232</v>
      </c>
      <c r="CR805">
        <v>1</v>
      </c>
      <c r="CW805">
        <v>15147237</v>
      </c>
      <c r="CY805">
        <v>1</v>
      </c>
      <c r="CZ805">
        <v>0</v>
      </c>
      <c r="DA805">
        <v>0</v>
      </c>
      <c r="DB805">
        <v>0</v>
      </c>
      <c r="DC805">
        <v>0</v>
      </c>
      <c r="DD805">
        <v>1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"12/16/2021 14:46:08.131"</f>
        <v>12/16/2021 14:46:08.131</v>
      </c>
      <c r="C806" t="str">
        <f t="shared" si="37"/>
        <v>FFDFD3C0</v>
      </c>
      <c r="D806" t="s">
        <v>124</v>
      </c>
      <c r="E806">
        <v>5</v>
      </c>
      <c r="F806">
        <v>1005</v>
      </c>
      <c r="G806" t="s">
        <v>114</v>
      </c>
      <c r="J806" t="s">
        <v>125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"14:46:07.891"</f>
        <v>14:46:07.891</v>
      </c>
      <c r="T806" t="str">
        <f>"14:46:07.391"</f>
        <v>14:46:07.391</v>
      </c>
      <c r="U806" t="str">
        <f t="shared" si="36"/>
        <v>A0F928</v>
      </c>
      <c r="V806">
        <v>0</v>
      </c>
      <c r="W806">
        <v>0</v>
      </c>
      <c r="X806">
        <v>2</v>
      </c>
      <c r="Z806">
        <v>0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1</v>
      </c>
      <c r="AI806" t="s">
        <v>508</v>
      </c>
      <c r="AJ806">
        <v>35.805236999999998</v>
      </c>
      <c r="AK806" t="s">
        <v>509</v>
      </c>
      <c r="AL806">
        <v>-83.953185000000005</v>
      </c>
      <c r="AM806">
        <v>25</v>
      </c>
      <c r="AN806">
        <v>1550</v>
      </c>
      <c r="AO806" t="s">
        <v>118</v>
      </c>
      <c r="AP806">
        <v>-66</v>
      </c>
      <c r="AQ806">
        <v>106</v>
      </c>
      <c r="AR806">
        <v>-128</v>
      </c>
      <c r="AZ806">
        <v>300</v>
      </c>
      <c r="BA806">
        <v>1</v>
      </c>
      <c r="BB806" t="str">
        <f t="shared" si="38"/>
        <v xml:space="preserve">N162AM  </v>
      </c>
      <c r="BC806">
        <v>1</v>
      </c>
      <c r="BE806">
        <v>0</v>
      </c>
      <c r="BF806">
        <v>0</v>
      </c>
      <c r="BG806">
        <v>0</v>
      </c>
      <c r="BH806">
        <v>1800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>"14:46:07.891"</f>
        <v>14:46:07.891</v>
      </c>
      <c r="CJ806">
        <v>3</v>
      </c>
      <c r="CK806">
        <v>2</v>
      </c>
      <c r="CL806">
        <v>0</v>
      </c>
      <c r="CM806">
        <v>2</v>
      </c>
      <c r="CN806">
        <v>0</v>
      </c>
      <c r="CO806">
        <v>7</v>
      </c>
      <c r="CP806" t="s">
        <v>119</v>
      </c>
      <c r="CQ806">
        <v>232</v>
      </c>
      <c r="CR806">
        <v>1</v>
      </c>
      <c r="CW806">
        <v>15147237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1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"12/16/2021 14:46:08.131"</f>
        <v>12/16/2021 14:46:08.131</v>
      </c>
      <c r="C807" t="str">
        <f t="shared" si="37"/>
        <v>FFDFD3C0</v>
      </c>
      <c r="D807" t="s">
        <v>133</v>
      </c>
      <c r="E807">
        <v>44</v>
      </c>
      <c r="H807">
        <v>131</v>
      </c>
      <c r="I807" t="s">
        <v>134</v>
      </c>
      <c r="J807" t="s">
        <v>135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"14:46:07.891"</f>
        <v>14:46:07.891</v>
      </c>
      <c r="T807" t="str">
        <f>"14:46:07.391"</f>
        <v>14:46:07.391</v>
      </c>
      <c r="U807" t="str">
        <f t="shared" si="36"/>
        <v>A0F928</v>
      </c>
      <c r="V807">
        <v>0</v>
      </c>
      <c r="W807">
        <v>0</v>
      </c>
      <c r="X807">
        <v>2</v>
      </c>
      <c r="Z807">
        <v>0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1</v>
      </c>
      <c r="AI807" t="s">
        <v>508</v>
      </c>
      <c r="AJ807">
        <v>35.805236999999998</v>
      </c>
      <c r="AK807" t="s">
        <v>509</v>
      </c>
      <c r="AL807">
        <v>-83.953185000000005</v>
      </c>
      <c r="AM807">
        <v>25</v>
      </c>
      <c r="AN807">
        <v>1550</v>
      </c>
      <c r="AO807" t="s">
        <v>118</v>
      </c>
      <c r="AP807">
        <v>-66</v>
      </c>
      <c r="AQ807">
        <v>106</v>
      </c>
      <c r="AR807">
        <v>-128</v>
      </c>
      <c r="AZ807">
        <v>300</v>
      </c>
      <c r="BA807">
        <v>1</v>
      </c>
      <c r="BB807" t="str">
        <f t="shared" si="38"/>
        <v xml:space="preserve">N162AM  </v>
      </c>
      <c r="BC807">
        <v>1</v>
      </c>
      <c r="BE807">
        <v>0</v>
      </c>
      <c r="BF807">
        <v>0</v>
      </c>
      <c r="BG807">
        <v>0</v>
      </c>
      <c r="BH807">
        <v>1800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>"14:46:07.891"</f>
        <v>14:46:07.891</v>
      </c>
      <c r="CJ807">
        <v>3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232</v>
      </c>
      <c r="CR807">
        <v>1</v>
      </c>
      <c r="CW807">
        <v>15147237</v>
      </c>
      <c r="CY807">
        <v>1</v>
      </c>
      <c r="CZ807">
        <v>0</v>
      </c>
      <c r="DA807">
        <v>1</v>
      </c>
      <c r="DB807">
        <v>0</v>
      </c>
      <c r="DC807">
        <v>0</v>
      </c>
      <c r="DD807">
        <v>1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"12/16/2021 14:46:08.131"</f>
        <v>12/16/2021 14:46:08.131</v>
      </c>
      <c r="C808" t="str">
        <f t="shared" si="37"/>
        <v>FFDFD3C0</v>
      </c>
      <c r="D808" t="s">
        <v>113</v>
      </c>
      <c r="E808">
        <v>8</v>
      </c>
      <c r="H808">
        <v>176</v>
      </c>
      <c r="I808" t="s">
        <v>114</v>
      </c>
      <c r="J808" t="s">
        <v>115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"14:46:07.891"</f>
        <v>14:46:07.891</v>
      </c>
      <c r="T808" t="str">
        <f>"14:46:07.391"</f>
        <v>14:46:07.391</v>
      </c>
      <c r="U808" t="str">
        <f t="shared" si="36"/>
        <v>A0F928</v>
      </c>
      <c r="V808">
        <v>0</v>
      </c>
      <c r="W808">
        <v>0</v>
      </c>
      <c r="X808">
        <v>2</v>
      </c>
      <c r="Z808">
        <v>0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1</v>
      </c>
      <c r="AI808" t="s">
        <v>508</v>
      </c>
      <c r="AJ808">
        <v>35.805236999999998</v>
      </c>
      <c r="AK808" t="s">
        <v>509</v>
      </c>
      <c r="AL808">
        <v>-83.953185000000005</v>
      </c>
      <c r="AM808">
        <v>25</v>
      </c>
      <c r="AN808">
        <v>1550</v>
      </c>
      <c r="AO808" t="s">
        <v>118</v>
      </c>
      <c r="AP808">
        <v>-66</v>
      </c>
      <c r="AQ808">
        <v>106</v>
      </c>
      <c r="AR808">
        <v>-128</v>
      </c>
      <c r="AZ808">
        <v>300</v>
      </c>
      <c r="BA808">
        <v>1</v>
      </c>
      <c r="BB808" t="str">
        <f t="shared" si="38"/>
        <v xml:space="preserve">N162AM  </v>
      </c>
      <c r="BC808">
        <v>1</v>
      </c>
      <c r="BE808">
        <v>0</v>
      </c>
      <c r="BF808">
        <v>0</v>
      </c>
      <c r="BG808">
        <v>0</v>
      </c>
      <c r="BH808">
        <v>1800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>"14:46:07.891"</f>
        <v>14:46:07.891</v>
      </c>
      <c r="CJ808">
        <v>3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232</v>
      </c>
      <c r="CR808">
        <v>1</v>
      </c>
      <c r="CW808">
        <v>15147237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1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"12/16/2021 14:46:09.084"</f>
        <v>12/16/2021 14:46:09.084</v>
      </c>
      <c r="C809" t="str">
        <f t="shared" si="37"/>
        <v>FFDFD3C0</v>
      </c>
      <c r="D809" t="s">
        <v>133</v>
      </c>
      <c r="E809">
        <v>44</v>
      </c>
      <c r="H809">
        <v>131</v>
      </c>
      <c r="I809" t="s">
        <v>134</v>
      </c>
      <c r="J809" t="s">
        <v>135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"14:46:08.828"</f>
        <v>14:46:08.828</v>
      </c>
      <c r="T809" t="str">
        <f>"14:46:08.428"</f>
        <v>14:46:08.428</v>
      </c>
      <c r="U809" t="str">
        <f t="shared" si="36"/>
        <v>A0F928</v>
      </c>
      <c r="V809">
        <v>0</v>
      </c>
      <c r="W809">
        <v>0</v>
      </c>
      <c r="X809">
        <v>2</v>
      </c>
      <c r="Z809">
        <v>0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1</v>
      </c>
      <c r="AI809" t="s">
        <v>510</v>
      </c>
      <c r="AJ809">
        <v>35.805731000000002</v>
      </c>
      <c r="AK809" t="s">
        <v>511</v>
      </c>
      <c r="AL809">
        <v>-83.953507000000002</v>
      </c>
      <c r="AM809">
        <v>25</v>
      </c>
      <c r="AN809">
        <v>1550</v>
      </c>
      <c r="AO809" t="s">
        <v>118</v>
      </c>
      <c r="AP809">
        <v>-61</v>
      </c>
      <c r="AQ809">
        <v>110</v>
      </c>
      <c r="AR809">
        <v>-128</v>
      </c>
      <c r="AZ809">
        <v>300</v>
      </c>
      <c r="BA809">
        <v>1</v>
      </c>
      <c r="BB809" t="str">
        <f t="shared" si="38"/>
        <v xml:space="preserve">N162AM  </v>
      </c>
      <c r="BC809">
        <v>1</v>
      </c>
      <c r="BE809">
        <v>0</v>
      </c>
      <c r="BF809">
        <v>0</v>
      </c>
      <c r="BG809">
        <v>0</v>
      </c>
      <c r="BH809">
        <v>1800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>"14:46:08.835"</f>
        <v>14:46:08.835</v>
      </c>
      <c r="CJ809">
        <v>3</v>
      </c>
      <c r="CK809">
        <v>2</v>
      </c>
      <c r="CL809">
        <v>0</v>
      </c>
      <c r="CM809">
        <v>2</v>
      </c>
      <c r="CN809">
        <v>0</v>
      </c>
      <c r="CO809">
        <v>6</v>
      </c>
      <c r="CP809" t="s">
        <v>119</v>
      </c>
      <c r="CQ809">
        <v>232</v>
      </c>
      <c r="CR809">
        <v>2</v>
      </c>
      <c r="CW809">
        <v>6341533</v>
      </c>
      <c r="CY809">
        <v>1</v>
      </c>
      <c r="CZ809">
        <v>0</v>
      </c>
      <c r="DA809">
        <v>0</v>
      </c>
      <c r="DB809">
        <v>0</v>
      </c>
      <c r="DC809">
        <v>0</v>
      </c>
      <c r="DD809">
        <v>1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"12/16/2021 14:46:09.084"</f>
        <v>12/16/2021 14:46:09.084</v>
      </c>
      <c r="C810" t="str">
        <f t="shared" si="37"/>
        <v>FFDFD3C0</v>
      </c>
      <c r="D810" t="s">
        <v>113</v>
      </c>
      <c r="E810">
        <v>8</v>
      </c>
      <c r="H810">
        <v>176</v>
      </c>
      <c r="I810" t="s">
        <v>114</v>
      </c>
      <c r="J810" t="s">
        <v>115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"14:46:08.828"</f>
        <v>14:46:08.828</v>
      </c>
      <c r="T810" t="str">
        <f>"14:46:08.428"</f>
        <v>14:46:08.428</v>
      </c>
      <c r="U810" t="str">
        <f t="shared" si="36"/>
        <v>A0F928</v>
      </c>
      <c r="V810">
        <v>0</v>
      </c>
      <c r="W810">
        <v>0</v>
      </c>
      <c r="X810">
        <v>2</v>
      </c>
      <c r="Z810">
        <v>0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1</v>
      </c>
      <c r="AI810" t="s">
        <v>510</v>
      </c>
      <c r="AJ810">
        <v>35.805731000000002</v>
      </c>
      <c r="AK810" t="s">
        <v>511</v>
      </c>
      <c r="AL810">
        <v>-83.953507000000002</v>
      </c>
      <c r="AM810">
        <v>25</v>
      </c>
      <c r="AN810">
        <v>1550</v>
      </c>
      <c r="AO810" t="s">
        <v>118</v>
      </c>
      <c r="AP810">
        <v>-61</v>
      </c>
      <c r="AQ810">
        <v>110</v>
      </c>
      <c r="AR810">
        <v>-128</v>
      </c>
      <c r="AZ810">
        <v>300</v>
      </c>
      <c r="BA810">
        <v>1</v>
      </c>
      <c r="BB810" t="str">
        <f t="shared" si="38"/>
        <v xml:space="preserve">N162AM  </v>
      </c>
      <c r="BC810">
        <v>1</v>
      </c>
      <c r="BE810">
        <v>0</v>
      </c>
      <c r="BF810">
        <v>0</v>
      </c>
      <c r="BG810">
        <v>0</v>
      </c>
      <c r="BH810">
        <v>1800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>"14:46:08.835"</f>
        <v>14:46:08.835</v>
      </c>
      <c r="CJ810">
        <v>3</v>
      </c>
      <c r="CK810">
        <v>2</v>
      </c>
      <c r="CL810">
        <v>0</v>
      </c>
      <c r="CM810">
        <v>2</v>
      </c>
      <c r="CN810">
        <v>0</v>
      </c>
      <c r="CO810">
        <v>6</v>
      </c>
      <c r="CP810" t="s">
        <v>119</v>
      </c>
      <c r="CQ810">
        <v>232</v>
      </c>
      <c r="CR810">
        <v>2</v>
      </c>
      <c r="CW810">
        <v>6341533</v>
      </c>
      <c r="CY810">
        <v>1</v>
      </c>
      <c r="CZ810">
        <v>0</v>
      </c>
      <c r="DA810">
        <v>1</v>
      </c>
      <c r="DB810">
        <v>0</v>
      </c>
      <c r="DC810">
        <v>0</v>
      </c>
      <c r="DD810">
        <v>1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"12/16/2021 14:46:09.084"</f>
        <v>12/16/2021 14:46:09.084</v>
      </c>
      <c r="C811" t="str">
        <f t="shared" si="37"/>
        <v>FFDFD3C0</v>
      </c>
      <c r="D811" t="s">
        <v>124</v>
      </c>
      <c r="E811">
        <v>10</v>
      </c>
      <c r="F811">
        <v>1010</v>
      </c>
      <c r="G811" t="s">
        <v>130</v>
      </c>
      <c r="J811" t="s">
        <v>125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"14:46:08.828"</f>
        <v>14:46:08.828</v>
      </c>
      <c r="T811" t="str">
        <f>"14:46:08.428"</f>
        <v>14:46:08.428</v>
      </c>
      <c r="U811" t="str">
        <f t="shared" si="36"/>
        <v>A0F928</v>
      </c>
      <c r="V811">
        <v>0</v>
      </c>
      <c r="W811">
        <v>0</v>
      </c>
      <c r="X811">
        <v>2</v>
      </c>
      <c r="Z811">
        <v>0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1</v>
      </c>
      <c r="AI811" t="s">
        <v>510</v>
      </c>
      <c r="AJ811">
        <v>35.805731000000002</v>
      </c>
      <c r="AK811" t="s">
        <v>511</v>
      </c>
      <c r="AL811">
        <v>-83.953507000000002</v>
      </c>
      <c r="AM811">
        <v>25</v>
      </c>
      <c r="AN811">
        <v>1550</v>
      </c>
      <c r="AO811" t="s">
        <v>118</v>
      </c>
      <c r="AP811">
        <v>-61</v>
      </c>
      <c r="AQ811">
        <v>110</v>
      </c>
      <c r="AR811">
        <v>-128</v>
      </c>
      <c r="AZ811">
        <v>300</v>
      </c>
      <c r="BA811">
        <v>1</v>
      </c>
      <c r="BB811" t="str">
        <f t="shared" si="38"/>
        <v xml:space="preserve">N162AM  </v>
      </c>
      <c r="BC811">
        <v>1</v>
      </c>
      <c r="BE811">
        <v>0</v>
      </c>
      <c r="BF811">
        <v>0</v>
      </c>
      <c r="BG811">
        <v>0</v>
      </c>
      <c r="BH811">
        <v>1800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>"14:46:08.835"</f>
        <v>14:46:08.835</v>
      </c>
      <c r="CJ811">
        <v>3</v>
      </c>
      <c r="CK811">
        <v>2</v>
      </c>
      <c r="CL811">
        <v>0</v>
      </c>
      <c r="CM811">
        <v>2</v>
      </c>
      <c r="CN811">
        <v>0</v>
      </c>
      <c r="CO811">
        <v>6</v>
      </c>
      <c r="CP811" t="s">
        <v>119</v>
      </c>
      <c r="CQ811">
        <v>232</v>
      </c>
      <c r="CR811">
        <v>2</v>
      </c>
      <c r="CW811">
        <v>6341533</v>
      </c>
      <c r="CY811">
        <v>1</v>
      </c>
      <c r="CZ811">
        <v>0</v>
      </c>
      <c r="DA811">
        <v>1</v>
      </c>
      <c r="DB811">
        <v>0</v>
      </c>
      <c r="DC811">
        <v>0</v>
      </c>
      <c r="DD811">
        <v>1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"12/16/2021 14:46:09.084"</f>
        <v>12/16/2021 14:46:09.084</v>
      </c>
      <c r="C812" t="str">
        <f t="shared" si="37"/>
        <v>FFDFD3C0</v>
      </c>
      <c r="D812" t="s">
        <v>124</v>
      </c>
      <c r="E812">
        <v>5</v>
      </c>
      <c r="F812">
        <v>1005</v>
      </c>
      <c r="G812" t="s">
        <v>114</v>
      </c>
      <c r="J812" t="s">
        <v>125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"14:46:08.828"</f>
        <v>14:46:08.828</v>
      </c>
      <c r="T812" t="str">
        <f>"14:46:08.428"</f>
        <v>14:46:08.428</v>
      </c>
      <c r="U812" t="str">
        <f t="shared" si="36"/>
        <v>A0F928</v>
      </c>
      <c r="V812">
        <v>0</v>
      </c>
      <c r="W812">
        <v>0</v>
      </c>
      <c r="X812">
        <v>2</v>
      </c>
      <c r="Z812">
        <v>0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1</v>
      </c>
      <c r="AI812" t="s">
        <v>510</v>
      </c>
      <c r="AJ812">
        <v>35.805731000000002</v>
      </c>
      <c r="AK812" t="s">
        <v>511</v>
      </c>
      <c r="AL812">
        <v>-83.953507000000002</v>
      </c>
      <c r="AM812">
        <v>25</v>
      </c>
      <c r="AN812">
        <v>1550</v>
      </c>
      <c r="AO812" t="s">
        <v>118</v>
      </c>
      <c r="AP812">
        <v>-61</v>
      </c>
      <c r="AQ812">
        <v>110</v>
      </c>
      <c r="AR812">
        <v>-128</v>
      </c>
      <c r="AZ812">
        <v>300</v>
      </c>
      <c r="BA812">
        <v>1</v>
      </c>
      <c r="BB812" t="str">
        <f t="shared" si="38"/>
        <v xml:space="preserve">N162AM  </v>
      </c>
      <c r="BC812">
        <v>1</v>
      </c>
      <c r="BE812">
        <v>0</v>
      </c>
      <c r="BF812">
        <v>0</v>
      </c>
      <c r="BG812">
        <v>0</v>
      </c>
      <c r="BH812">
        <v>1800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>"14:46:08.835"</f>
        <v>14:46:08.835</v>
      </c>
      <c r="CJ812">
        <v>3</v>
      </c>
      <c r="CK812">
        <v>2</v>
      </c>
      <c r="CL812">
        <v>0</v>
      </c>
      <c r="CM812">
        <v>2</v>
      </c>
      <c r="CN812">
        <v>0</v>
      </c>
      <c r="CO812">
        <v>6</v>
      </c>
      <c r="CP812" t="s">
        <v>119</v>
      </c>
      <c r="CQ812">
        <v>232</v>
      </c>
      <c r="CR812">
        <v>2</v>
      </c>
      <c r="CW812">
        <v>6341533</v>
      </c>
      <c r="CY812">
        <v>1</v>
      </c>
      <c r="CZ812">
        <v>0</v>
      </c>
      <c r="DA812">
        <v>1</v>
      </c>
      <c r="DB812">
        <v>0</v>
      </c>
      <c r="DC812">
        <v>0</v>
      </c>
      <c r="DD812">
        <v>1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"12/16/2021 14:46:09.975"</f>
        <v>12/16/2021 14:46:09.975</v>
      </c>
      <c r="C813" t="str">
        <f t="shared" si="37"/>
        <v>FFDFD3C0</v>
      </c>
      <c r="D813" t="s">
        <v>124</v>
      </c>
      <c r="E813">
        <v>5</v>
      </c>
      <c r="F813">
        <v>1005</v>
      </c>
      <c r="G813" t="s">
        <v>114</v>
      </c>
      <c r="J813" t="s">
        <v>125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"14:46:09.766"</f>
        <v>14:46:09.766</v>
      </c>
      <c r="T813" t="str">
        <f>"14:46:09.266"</f>
        <v>14:46:09.266</v>
      </c>
      <c r="U813" t="str">
        <f t="shared" si="36"/>
        <v>A0F928</v>
      </c>
      <c r="V813">
        <v>0</v>
      </c>
      <c r="W813">
        <v>0</v>
      </c>
      <c r="X813">
        <v>2</v>
      </c>
      <c r="Z813">
        <v>0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1</v>
      </c>
      <c r="AI813" t="s">
        <v>512</v>
      </c>
      <c r="AJ813">
        <v>35.806224</v>
      </c>
      <c r="AK813" t="s">
        <v>513</v>
      </c>
      <c r="AL813">
        <v>-83.953806999999998</v>
      </c>
      <c r="AM813">
        <v>25</v>
      </c>
      <c r="AN813">
        <v>1550</v>
      </c>
      <c r="AO813" t="s">
        <v>118</v>
      </c>
      <c r="AP813">
        <v>-56</v>
      </c>
      <c r="AQ813">
        <v>113</v>
      </c>
      <c r="AR813">
        <v>-192</v>
      </c>
      <c r="AZ813">
        <v>300</v>
      </c>
      <c r="BA813">
        <v>1</v>
      </c>
      <c r="BB813" t="str">
        <f t="shared" si="38"/>
        <v xml:space="preserve">N162AM  </v>
      </c>
      <c r="BC813">
        <v>1</v>
      </c>
      <c r="BE813">
        <v>0</v>
      </c>
      <c r="BF813">
        <v>0</v>
      </c>
      <c r="BG813">
        <v>0</v>
      </c>
      <c r="BH813">
        <v>1825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>"14:46:09.772"</f>
        <v>14:46:09.772</v>
      </c>
      <c r="CJ813">
        <v>3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232</v>
      </c>
      <c r="CR813">
        <v>1</v>
      </c>
      <c r="CW813">
        <v>15150097</v>
      </c>
      <c r="CY813">
        <v>1</v>
      </c>
      <c r="CZ813">
        <v>0</v>
      </c>
      <c r="DA813">
        <v>0</v>
      </c>
      <c r="DB813">
        <v>0</v>
      </c>
      <c r="DC813">
        <v>0</v>
      </c>
      <c r="DD813">
        <v>1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"12/16/2021 14:46:10.022"</f>
        <v>12/16/2021 14:46:10.022</v>
      </c>
      <c r="C814" t="str">
        <f t="shared" si="37"/>
        <v>FFDFD3C0</v>
      </c>
      <c r="D814" t="s">
        <v>133</v>
      </c>
      <c r="E814">
        <v>44</v>
      </c>
      <c r="H814">
        <v>131</v>
      </c>
      <c r="I814" t="s">
        <v>134</v>
      </c>
      <c r="J814" t="s">
        <v>135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"14:46:09.766"</f>
        <v>14:46:09.766</v>
      </c>
      <c r="T814" t="str">
        <f>"14:46:09.266"</f>
        <v>14:46:09.266</v>
      </c>
      <c r="U814" t="str">
        <f t="shared" si="36"/>
        <v>A0F928</v>
      </c>
      <c r="V814">
        <v>0</v>
      </c>
      <c r="W814">
        <v>0</v>
      </c>
      <c r="X814">
        <v>2</v>
      </c>
      <c r="Z814">
        <v>0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1</v>
      </c>
      <c r="AI814" t="s">
        <v>512</v>
      </c>
      <c r="AJ814">
        <v>35.806224</v>
      </c>
      <c r="AK814" t="s">
        <v>513</v>
      </c>
      <c r="AL814">
        <v>-83.953806999999998</v>
      </c>
      <c r="AM814">
        <v>25</v>
      </c>
      <c r="AN814">
        <v>1550</v>
      </c>
      <c r="AO814" t="s">
        <v>118</v>
      </c>
      <c r="AP814">
        <v>-56</v>
      </c>
      <c r="AQ814">
        <v>113</v>
      </c>
      <c r="AR814">
        <v>-192</v>
      </c>
      <c r="AZ814">
        <v>300</v>
      </c>
      <c r="BA814">
        <v>1</v>
      </c>
      <c r="BB814" t="str">
        <f t="shared" si="38"/>
        <v xml:space="preserve">N162AM  </v>
      </c>
      <c r="BC814">
        <v>1</v>
      </c>
      <c r="BE814">
        <v>0</v>
      </c>
      <c r="BF814">
        <v>0</v>
      </c>
      <c r="BG814">
        <v>0</v>
      </c>
      <c r="BH814">
        <v>1825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>"14:46:09.772"</f>
        <v>14:46:09.772</v>
      </c>
      <c r="CJ814">
        <v>3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232</v>
      </c>
      <c r="CR814">
        <v>1</v>
      </c>
      <c r="CW814">
        <v>15150097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1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"12/16/2021 14:46:10.022"</f>
        <v>12/16/2021 14:46:10.022</v>
      </c>
      <c r="C815" t="str">
        <f t="shared" si="37"/>
        <v>FFDFD3C0</v>
      </c>
      <c r="D815" t="s">
        <v>113</v>
      </c>
      <c r="E815">
        <v>8</v>
      </c>
      <c r="H815">
        <v>176</v>
      </c>
      <c r="I815" t="s">
        <v>114</v>
      </c>
      <c r="J815" t="s">
        <v>115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"14:46:09.766"</f>
        <v>14:46:09.766</v>
      </c>
      <c r="T815" t="str">
        <f>"14:46:09.266"</f>
        <v>14:46:09.266</v>
      </c>
      <c r="U815" t="str">
        <f t="shared" si="36"/>
        <v>A0F928</v>
      </c>
      <c r="V815">
        <v>0</v>
      </c>
      <c r="W815">
        <v>0</v>
      </c>
      <c r="X815">
        <v>2</v>
      </c>
      <c r="Z815">
        <v>0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1</v>
      </c>
      <c r="AI815" t="s">
        <v>512</v>
      </c>
      <c r="AJ815">
        <v>35.806224</v>
      </c>
      <c r="AK815" t="s">
        <v>513</v>
      </c>
      <c r="AL815">
        <v>-83.953806999999998</v>
      </c>
      <c r="AM815">
        <v>25</v>
      </c>
      <c r="AN815">
        <v>1550</v>
      </c>
      <c r="AO815" t="s">
        <v>118</v>
      </c>
      <c r="AP815">
        <v>-56</v>
      </c>
      <c r="AQ815">
        <v>113</v>
      </c>
      <c r="AR815">
        <v>-192</v>
      </c>
      <c r="AZ815">
        <v>300</v>
      </c>
      <c r="BA815">
        <v>1</v>
      </c>
      <c r="BB815" t="str">
        <f t="shared" si="38"/>
        <v xml:space="preserve">N162AM  </v>
      </c>
      <c r="BC815">
        <v>1</v>
      </c>
      <c r="BE815">
        <v>0</v>
      </c>
      <c r="BF815">
        <v>0</v>
      </c>
      <c r="BG815">
        <v>0</v>
      </c>
      <c r="BH815">
        <v>1825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>"14:46:09.772"</f>
        <v>14:46:09.772</v>
      </c>
      <c r="CJ815">
        <v>3</v>
      </c>
      <c r="CK815">
        <v>2</v>
      </c>
      <c r="CL815">
        <v>0</v>
      </c>
      <c r="CM815">
        <v>2</v>
      </c>
      <c r="CN815">
        <v>0</v>
      </c>
      <c r="CO815">
        <v>7</v>
      </c>
      <c r="CP815" t="s">
        <v>119</v>
      </c>
      <c r="CQ815">
        <v>232</v>
      </c>
      <c r="CR815">
        <v>1</v>
      </c>
      <c r="CW815">
        <v>15150097</v>
      </c>
      <c r="CY815">
        <v>1</v>
      </c>
      <c r="CZ815">
        <v>0</v>
      </c>
      <c r="DA815">
        <v>1</v>
      </c>
      <c r="DB815">
        <v>0</v>
      </c>
      <c r="DC815">
        <v>0</v>
      </c>
      <c r="DD815">
        <v>1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"12/16/2021 14:46:10.022"</f>
        <v>12/16/2021 14:46:10.022</v>
      </c>
      <c r="C816" t="str">
        <f t="shared" si="37"/>
        <v>FFDFD3C0</v>
      </c>
      <c r="D816" t="s">
        <v>124</v>
      </c>
      <c r="E816">
        <v>10</v>
      </c>
      <c r="F816">
        <v>1010</v>
      </c>
      <c r="G816" t="s">
        <v>130</v>
      </c>
      <c r="J816" t="s">
        <v>125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"14:46:09.766"</f>
        <v>14:46:09.766</v>
      </c>
      <c r="T816" t="str">
        <f>"14:46:09.266"</f>
        <v>14:46:09.266</v>
      </c>
      <c r="U816" t="str">
        <f t="shared" si="36"/>
        <v>A0F928</v>
      </c>
      <c r="V816">
        <v>0</v>
      </c>
      <c r="W816">
        <v>0</v>
      </c>
      <c r="X816">
        <v>2</v>
      </c>
      <c r="Z816">
        <v>0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1</v>
      </c>
      <c r="AI816" t="s">
        <v>512</v>
      </c>
      <c r="AJ816">
        <v>35.806224</v>
      </c>
      <c r="AK816" t="s">
        <v>513</v>
      </c>
      <c r="AL816">
        <v>-83.953806999999998</v>
      </c>
      <c r="AM816">
        <v>25</v>
      </c>
      <c r="AN816">
        <v>1550</v>
      </c>
      <c r="AO816" t="s">
        <v>118</v>
      </c>
      <c r="AP816">
        <v>-56</v>
      </c>
      <c r="AQ816">
        <v>113</v>
      </c>
      <c r="AR816">
        <v>-192</v>
      </c>
      <c r="AZ816">
        <v>300</v>
      </c>
      <c r="BA816">
        <v>1</v>
      </c>
      <c r="BB816" t="str">
        <f t="shared" si="38"/>
        <v xml:space="preserve">N162AM  </v>
      </c>
      <c r="BC816">
        <v>1</v>
      </c>
      <c r="BE816">
        <v>0</v>
      </c>
      <c r="BF816">
        <v>0</v>
      </c>
      <c r="BG816">
        <v>0</v>
      </c>
      <c r="BH816">
        <v>1825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>"14:46:09.772"</f>
        <v>14:46:09.772</v>
      </c>
      <c r="CJ816">
        <v>3</v>
      </c>
      <c r="CK816">
        <v>2</v>
      </c>
      <c r="CL816">
        <v>0</v>
      </c>
      <c r="CM816">
        <v>2</v>
      </c>
      <c r="CN816">
        <v>0</v>
      </c>
      <c r="CO816">
        <v>7</v>
      </c>
      <c r="CP816" t="s">
        <v>119</v>
      </c>
      <c r="CQ816">
        <v>232</v>
      </c>
      <c r="CR816">
        <v>1</v>
      </c>
      <c r="CW816">
        <v>15150097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1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"12/16/2021 14:46:11.037"</f>
        <v>12/16/2021 14:46:11.037</v>
      </c>
      <c r="C817" t="str">
        <f t="shared" si="37"/>
        <v>FFDFD3C0</v>
      </c>
      <c r="D817" t="s">
        <v>124</v>
      </c>
      <c r="E817">
        <v>5</v>
      </c>
      <c r="F817">
        <v>1005</v>
      </c>
      <c r="G817" t="s">
        <v>114</v>
      </c>
      <c r="J817" t="s">
        <v>125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"14:46:10.789"</f>
        <v>14:46:10.789</v>
      </c>
      <c r="T817" t="str">
        <f>"14:46:10.389"</f>
        <v>14:46:10.389</v>
      </c>
      <c r="U817" t="str">
        <f t="shared" si="36"/>
        <v>A0F928</v>
      </c>
      <c r="V817">
        <v>0</v>
      </c>
      <c r="W817">
        <v>0</v>
      </c>
      <c r="X817">
        <v>2</v>
      </c>
      <c r="Z817">
        <v>0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1</v>
      </c>
      <c r="AI817" t="s">
        <v>514</v>
      </c>
      <c r="AJ817">
        <v>35.806781999999998</v>
      </c>
      <c r="AK817" t="s">
        <v>515</v>
      </c>
      <c r="AL817">
        <v>-83.954086000000004</v>
      </c>
      <c r="AM817">
        <v>25</v>
      </c>
      <c r="AN817">
        <v>1550</v>
      </c>
      <c r="AO817" t="s">
        <v>118</v>
      </c>
      <c r="AP817">
        <v>-49</v>
      </c>
      <c r="AQ817">
        <v>118</v>
      </c>
      <c r="AR817">
        <v>-192</v>
      </c>
      <c r="AZ817">
        <v>300</v>
      </c>
      <c r="BA817">
        <v>1</v>
      </c>
      <c r="BB817" t="str">
        <f t="shared" si="38"/>
        <v xml:space="preserve">N162AM  </v>
      </c>
      <c r="BC817">
        <v>1</v>
      </c>
      <c r="BE817">
        <v>0</v>
      </c>
      <c r="BF817">
        <v>0</v>
      </c>
      <c r="BG817">
        <v>0</v>
      </c>
      <c r="BH817">
        <v>1800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>"14:46:10.794"</f>
        <v>14:46:10.794</v>
      </c>
      <c r="CJ817">
        <v>3</v>
      </c>
      <c r="CK817">
        <v>2</v>
      </c>
      <c r="CL817">
        <v>0</v>
      </c>
      <c r="CM817">
        <v>2</v>
      </c>
      <c r="CN817">
        <v>0</v>
      </c>
      <c r="CO817">
        <v>6</v>
      </c>
      <c r="CP817" t="s">
        <v>119</v>
      </c>
      <c r="CQ817">
        <v>232</v>
      </c>
      <c r="CR817">
        <v>2</v>
      </c>
      <c r="CW817">
        <v>6344582</v>
      </c>
      <c r="CY817">
        <v>1</v>
      </c>
      <c r="CZ817">
        <v>0</v>
      </c>
      <c r="DA817">
        <v>0</v>
      </c>
      <c r="DB817">
        <v>0</v>
      </c>
      <c r="DC817">
        <v>0</v>
      </c>
      <c r="DD817">
        <v>1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"12/16/2021 14:46:11.053"</f>
        <v>12/16/2021 14:46:11.053</v>
      </c>
      <c r="C818" t="str">
        <f t="shared" si="37"/>
        <v>FFDFD3C0</v>
      </c>
      <c r="D818" t="s">
        <v>124</v>
      </c>
      <c r="E818">
        <v>10</v>
      </c>
      <c r="F818">
        <v>1010</v>
      </c>
      <c r="G818" t="s">
        <v>130</v>
      </c>
      <c r="J818" t="s">
        <v>125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"14:46:10.789"</f>
        <v>14:46:10.789</v>
      </c>
      <c r="T818" t="str">
        <f>"14:46:10.389"</f>
        <v>14:46:10.389</v>
      </c>
      <c r="U818" t="str">
        <f t="shared" si="36"/>
        <v>A0F928</v>
      </c>
      <c r="V818">
        <v>0</v>
      </c>
      <c r="W818">
        <v>0</v>
      </c>
      <c r="X818">
        <v>2</v>
      </c>
      <c r="Z818">
        <v>0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1</v>
      </c>
      <c r="AI818" t="s">
        <v>514</v>
      </c>
      <c r="AJ818">
        <v>35.806781999999998</v>
      </c>
      <c r="AK818" t="s">
        <v>515</v>
      </c>
      <c r="AL818">
        <v>-83.954086000000004</v>
      </c>
      <c r="AM818">
        <v>25</v>
      </c>
      <c r="AN818">
        <v>1550</v>
      </c>
      <c r="AO818" t="s">
        <v>118</v>
      </c>
      <c r="AP818">
        <v>-49</v>
      </c>
      <c r="AQ818">
        <v>118</v>
      </c>
      <c r="AR818">
        <v>-192</v>
      </c>
      <c r="AZ818">
        <v>300</v>
      </c>
      <c r="BA818">
        <v>1</v>
      </c>
      <c r="BB818" t="str">
        <f t="shared" si="38"/>
        <v xml:space="preserve">N162AM  </v>
      </c>
      <c r="BC818">
        <v>1</v>
      </c>
      <c r="BE818">
        <v>0</v>
      </c>
      <c r="BF818">
        <v>0</v>
      </c>
      <c r="BG818">
        <v>0</v>
      </c>
      <c r="BH818">
        <v>1800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>"14:46:10.794"</f>
        <v>14:46:10.794</v>
      </c>
      <c r="CJ818">
        <v>3</v>
      </c>
      <c r="CK818">
        <v>2</v>
      </c>
      <c r="CL818">
        <v>0</v>
      </c>
      <c r="CM818">
        <v>2</v>
      </c>
      <c r="CN818">
        <v>0</v>
      </c>
      <c r="CO818">
        <v>6</v>
      </c>
      <c r="CP818" t="s">
        <v>119</v>
      </c>
      <c r="CQ818">
        <v>232</v>
      </c>
      <c r="CR818">
        <v>2</v>
      </c>
      <c r="CW818">
        <v>6344582</v>
      </c>
      <c r="CY818">
        <v>1</v>
      </c>
      <c r="CZ818">
        <v>0</v>
      </c>
      <c r="DA818">
        <v>1</v>
      </c>
      <c r="DB818">
        <v>0</v>
      </c>
      <c r="DC818">
        <v>0</v>
      </c>
      <c r="DD818">
        <v>1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"12/16/2021 14:46:11.053"</f>
        <v>12/16/2021 14:46:11.053</v>
      </c>
      <c r="C819" t="str">
        <f t="shared" si="37"/>
        <v>FFDFD3C0</v>
      </c>
      <c r="D819" t="s">
        <v>133</v>
      </c>
      <c r="E819">
        <v>44</v>
      </c>
      <c r="H819">
        <v>131</v>
      </c>
      <c r="I819" t="s">
        <v>134</v>
      </c>
      <c r="J819" t="s">
        <v>135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"14:46:10.789"</f>
        <v>14:46:10.789</v>
      </c>
      <c r="T819" t="str">
        <f>"14:46:10.389"</f>
        <v>14:46:10.389</v>
      </c>
      <c r="U819" t="str">
        <f t="shared" si="36"/>
        <v>A0F928</v>
      </c>
      <c r="V819">
        <v>0</v>
      </c>
      <c r="W819">
        <v>0</v>
      </c>
      <c r="X819">
        <v>2</v>
      </c>
      <c r="Z819">
        <v>0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1</v>
      </c>
      <c r="AI819" t="s">
        <v>514</v>
      </c>
      <c r="AJ819">
        <v>35.806781999999998</v>
      </c>
      <c r="AK819" t="s">
        <v>515</v>
      </c>
      <c r="AL819">
        <v>-83.954086000000004</v>
      </c>
      <c r="AM819">
        <v>25</v>
      </c>
      <c r="AN819">
        <v>1550</v>
      </c>
      <c r="AO819" t="s">
        <v>118</v>
      </c>
      <c r="AP819">
        <v>-49</v>
      </c>
      <c r="AQ819">
        <v>118</v>
      </c>
      <c r="AR819">
        <v>-192</v>
      </c>
      <c r="AZ819">
        <v>300</v>
      </c>
      <c r="BA819">
        <v>1</v>
      </c>
      <c r="BB819" t="str">
        <f t="shared" si="38"/>
        <v xml:space="preserve">N162AM  </v>
      </c>
      <c r="BC819">
        <v>1</v>
      </c>
      <c r="BE819">
        <v>0</v>
      </c>
      <c r="BF819">
        <v>0</v>
      </c>
      <c r="BG819">
        <v>0</v>
      </c>
      <c r="BH819">
        <v>1800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>"14:46:10.794"</f>
        <v>14:46:10.794</v>
      </c>
      <c r="CJ819">
        <v>3</v>
      </c>
      <c r="CK819">
        <v>2</v>
      </c>
      <c r="CL819">
        <v>0</v>
      </c>
      <c r="CM819">
        <v>2</v>
      </c>
      <c r="CN819">
        <v>0</v>
      </c>
      <c r="CO819">
        <v>6</v>
      </c>
      <c r="CP819" t="s">
        <v>119</v>
      </c>
      <c r="CQ819">
        <v>232</v>
      </c>
      <c r="CR819">
        <v>2</v>
      </c>
      <c r="CW819">
        <v>6344582</v>
      </c>
      <c r="CY819">
        <v>1</v>
      </c>
      <c r="CZ819">
        <v>0</v>
      </c>
      <c r="DA819">
        <v>1</v>
      </c>
      <c r="DB819">
        <v>0</v>
      </c>
      <c r="DC819">
        <v>0</v>
      </c>
      <c r="DD819">
        <v>1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"12/16/2021 14:46:11.053"</f>
        <v>12/16/2021 14:46:11.053</v>
      </c>
      <c r="C820" t="str">
        <f t="shared" si="37"/>
        <v>FFDFD3C0</v>
      </c>
      <c r="D820" t="s">
        <v>113</v>
      </c>
      <c r="E820">
        <v>8</v>
      </c>
      <c r="H820">
        <v>176</v>
      </c>
      <c r="I820" t="s">
        <v>114</v>
      </c>
      <c r="J820" t="s">
        <v>115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"14:46:10.789"</f>
        <v>14:46:10.789</v>
      </c>
      <c r="T820" t="str">
        <f>"14:46:10.389"</f>
        <v>14:46:10.389</v>
      </c>
      <c r="U820" t="str">
        <f t="shared" si="36"/>
        <v>A0F928</v>
      </c>
      <c r="V820">
        <v>0</v>
      </c>
      <c r="W820">
        <v>0</v>
      </c>
      <c r="X820">
        <v>2</v>
      </c>
      <c r="Z820">
        <v>0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1</v>
      </c>
      <c r="AI820" t="s">
        <v>514</v>
      </c>
      <c r="AJ820">
        <v>35.806781999999998</v>
      </c>
      <c r="AK820" t="s">
        <v>515</v>
      </c>
      <c r="AL820">
        <v>-83.954086000000004</v>
      </c>
      <c r="AM820">
        <v>25</v>
      </c>
      <c r="AN820">
        <v>1550</v>
      </c>
      <c r="AO820" t="s">
        <v>118</v>
      </c>
      <c r="AP820">
        <v>-49</v>
      </c>
      <c r="AQ820">
        <v>118</v>
      </c>
      <c r="AR820">
        <v>-192</v>
      </c>
      <c r="AZ820">
        <v>300</v>
      </c>
      <c r="BA820">
        <v>1</v>
      </c>
      <c r="BB820" t="str">
        <f t="shared" si="38"/>
        <v xml:space="preserve">N162AM  </v>
      </c>
      <c r="BC820">
        <v>1</v>
      </c>
      <c r="BE820">
        <v>0</v>
      </c>
      <c r="BF820">
        <v>0</v>
      </c>
      <c r="BG820">
        <v>0</v>
      </c>
      <c r="BH820">
        <v>1800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>"14:46:10.794"</f>
        <v>14:46:10.794</v>
      </c>
      <c r="CJ820">
        <v>3</v>
      </c>
      <c r="CK820">
        <v>2</v>
      </c>
      <c r="CL820">
        <v>0</v>
      </c>
      <c r="CM820">
        <v>2</v>
      </c>
      <c r="CN820">
        <v>0</v>
      </c>
      <c r="CO820">
        <v>6</v>
      </c>
      <c r="CP820" t="s">
        <v>119</v>
      </c>
      <c r="CQ820">
        <v>232</v>
      </c>
      <c r="CR820">
        <v>2</v>
      </c>
      <c r="CW820">
        <v>6344582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1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"12/16/2021 14:46:12.053"</f>
        <v>12/16/2021 14:46:12.053</v>
      </c>
      <c r="C821" t="str">
        <f t="shared" si="37"/>
        <v>FFDFD3C0</v>
      </c>
      <c r="D821" t="s">
        <v>124</v>
      </c>
      <c r="E821">
        <v>10</v>
      </c>
      <c r="F821">
        <v>1010</v>
      </c>
      <c r="G821" t="s">
        <v>130</v>
      </c>
      <c r="J821" t="s">
        <v>125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"14:46:11.805"</f>
        <v>14:46:11.805</v>
      </c>
      <c r="T821" t="str">
        <f>"14:46:11.305"</f>
        <v>14:46:11.305</v>
      </c>
      <c r="U821" t="str">
        <f t="shared" si="36"/>
        <v>A0F928</v>
      </c>
      <c r="V821">
        <v>0</v>
      </c>
      <c r="W821">
        <v>0</v>
      </c>
      <c r="X821">
        <v>2</v>
      </c>
      <c r="Z821">
        <v>0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1</v>
      </c>
      <c r="AI821" t="s">
        <v>516</v>
      </c>
      <c r="AJ821">
        <v>35.807383000000002</v>
      </c>
      <c r="AK821" t="s">
        <v>517</v>
      </c>
      <c r="AL821">
        <v>-83.954322000000005</v>
      </c>
      <c r="AM821">
        <v>25</v>
      </c>
      <c r="AN821">
        <v>1550</v>
      </c>
      <c r="AO821" t="s">
        <v>118</v>
      </c>
      <c r="AP821">
        <v>-42</v>
      </c>
      <c r="AQ821">
        <v>121</v>
      </c>
      <c r="AR821">
        <v>-192</v>
      </c>
      <c r="AZ821">
        <v>300</v>
      </c>
      <c r="BA821">
        <v>1</v>
      </c>
      <c r="BB821" t="str">
        <f t="shared" si="38"/>
        <v xml:space="preserve">N162AM  </v>
      </c>
      <c r="BC821">
        <v>1</v>
      </c>
      <c r="BE821">
        <v>0</v>
      </c>
      <c r="BF821">
        <v>0</v>
      </c>
      <c r="BG821">
        <v>0</v>
      </c>
      <c r="BH821">
        <v>1800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>"14:46:11.807"</f>
        <v>14:46:11.807</v>
      </c>
      <c r="CJ821">
        <v>3</v>
      </c>
      <c r="CK821">
        <v>2</v>
      </c>
      <c r="CL821">
        <v>0</v>
      </c>
      <c r="CM821">
        <v>2</v>
      </c>
      <c r="CN821">
        <v>0</v>
      </c>
      <c r="CO821">
        <v>5</v>
      </c>
      <c r="CP821" t="s">
        <v>119</v>
      </c>
      <c r="CQ821">
        <v>232</v>
      </c>
      <c r="CR821">
        <v>2</v>
      </c>
      <c r="CW821">
        <v>6346142</v>
      </c>
      <c r="CY821">
        <v>1</v>
      </c>
      <c r="CZ821">
        <v>0</v>
      </c>
      <c r="DA821">
        <v>0</v>
      </c>
      <c r="DB821">
        <v>0</v>
      </c>
      <c r="DC821">
        <v>0</v>
      </c>
      <c r="DD821">
        <v>1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"12/16/2021 14:46:12.053"</f>
        <v>12/16/2021 14:46:12.053</v>
      </c>
      <c r="C822" t="str">
        <f t="shared" si="37"/>
        <v>FFDFD3C0</v>
      </c>
      <c r="D822" t="s">
        <v>133</v>
      </c>
      <c r="E822">
        <v>44</v>
      </c>
      <c r="H822">
        <v>131</v>
      </c>
      <c r="I822" t="s">
        <v>134</v>
      </c>
      <c r="J822" t="s">
        <v>135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"14:46:11.805"</f>
        <v>14:46:11.805</v>
      </c>
      <c r="T822" t="str">
        <f>"14:46:11.305"</f>
        <v>14:46:11.305</v>
      </c>
      <c r="U822" t="str">
        <f t="shared" si="36"/>
        <v>A0F928</v>
      </c>
      <c r="V822">
        <v>0</v>
      </c>
      <c r="W822">
        <v>0</v>
      </c>
      <c r="X822">
        <v>2</v>
      </c>
      <c r="Z822">
        <v>0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2</v>
      </c>
      <c r="AH822">
        <v>1</v>
      </c>
      <c r="AI822" t="s">
        <v>516</v>
      </c>
      <c r="AJ822">
        <v>35.807383000000002</v>
      </c>
      <c r="AK822" t="s">
        <v>517</v>
      </c>
      <c r="AL822">
        <v>-83.954322000000005</v>
      </c>
      <c r="AM822">
        <v>25</v>
      </c>
      <c r="AN822">
        <v>1550</v>
      </c>
      <c r="AO822" t="s">
        <v>118</v>
      </c>
      <c r="AP822">
        <v>-42</v>
      </c>
      <c r="AQ822">
        <v>121</v>
      </c>
      <c r="AR822">
        <v>-192</v>
      </c>
      <c r="AZ822">
        <v>300</v>
      </c>
      <c r="BA822">
        <v>1</v>
      </c>
      <c r="BB822" t="str">
        <f t="shared" si="38"/>
        <v xml:space="preserve">N162AM  </v>
      </c>
      <c r="BC822">
        <v>1</v>
      </c>
      <c r="BE822">
        <v>0</v>
      </c>
      <c r="BF822">
        <v>0</v>
      </c>
      <c r="BG822">
        <v>0</v>
      </c>
      <c r="BH822">
        <v>1800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>"14:46:11.807"</f>
        <v>14:46:11.807</v>
      </c>
      <c r="CJ822">
        <v>3</v>
      </c>
      <c r="CK822">
        <v>2</v>
      </c>
      <c r="CL822">
        <v>0</v>
      </c>
      <c r="CM822">
        <v>2</v>
      </c>
      <c r="CN822">
        <v>0</v>
      </c>
      <c r="CO822">
        <v>5</v>
      </c>
      <c r="CP822" t="s">
        <v>119</v>
      </c>
      <c r="CQ822">
        <v>232</v>
      </c>
      <c r="CR822">
        <v>2</v>
      </c>
      <c r="CW822">
        <v>6346142</v>
      </c>
      <c r="CY822">
        <v>1</v>
      </c>
      <c r="CZ822">
        <v>0</v>
      </c>
      <c r="DA822">
        <v>1</v>
      </c>
      <c r="DB822">
        <v>0</v>
      </c>
      <c r="DC822">
        <v>0</v>
      </c>
      <c r="DD822">
        <v>1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"12/16/2021 14:46:12.053"</f>
        <v>12/16/2021 14:46:12.053</v>
      </c>
      <c r="C823" t="str">
        <f t="shared" si="37"/>
        <v>FFDFD3C0</v>
      </c>
      <c r="D823" t="s">
        <v>113</v>
      </c>
      <c r="E823">
        <v>8</v>
      </c>
      <c r="H823">
        <v>176</v>
      </c>
      <c r="I823" t="s">
        <v>114</v>
      </c>
      <c r="J823" t="s">
        <v>115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"14:46:11.805"</f>
        <v>14:46:11.805</v>
      </c>
      <c r="T823" t="str">
        <f>"14:46:11.305"</f>
        <v>14:46:11.305</v>
      </c>
      <c r="U823" t="str">
        <f t="shared" si="36"/>
        <v>A0F928</v>
      </c>
      <c r="V823">
        <v>0</v>
      </c>
      <c r="W823">
        <v>0</v>
      </c>
      <c r="X823">
        <v>2</v>
      </c>
      <c r="Z823">
        <v>0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1</v>
      </c>
      <c r="AI823" t="s">
        <v>516</v>
      </c>
      <c r="AJ823">
        <v>35.807383000000002</v>
      </c>
      <c r="AK823" t="s">
        <v>517</v>
      </c>
      <c r="AL823">
        <v>-83.954322000000005</v>
      </c>
      <c r="AM823">
        <v>25</v>
      </c>
      <c r="AN823">
        <v>1550</v>
      </c>
      <c r="AO823" t="s">
        <v>118</v>
      </c>
      <c r="AP823">
        <v>-42</v>
      </c>
      <c r="AQ823">
        <v>121</v>
      </c>
      <c r="AR823">
        <v>-192</v>
      </c>
      <c r="AZ823">
        <v>300</v>
      </c>
      <c r="BA823">
        <v>1</v>
      </c>
      <c r="BB823" t="str">
        <f t="shared" si="38"/>
        <v xml:space="preserve">N162AM  </v>
      </c>
      <c r="BC823">
        <v>1</v>
      </c>
      <c r="BE823">
        <v>0</v>
      </c>
      <c r="BF823">
        <v>0</v>
      </c>
      <c r="BG823">
        <v>0</v>
      </c>
      <c r="BH823">
        <v>1800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>"14:46:11.807"</f>
        <v>14:46:11.807</v>
      </c>
      <c r="CJ823">
        <v>3</v>
      </c>
      <c r="CK823">
        <v>2</v>
      </c>
      <c r="CL823">
        <v>0</v>
      </c>
      <c r="CM823">
        <v>2</v>
      </c>
      <c r="CN823">
        <v>0</v>
      </c>
      <c r="CO823">
        <v>5</v>
      </c>
      <c r="CP823" t="s">
        <v>119</v>
      </c>
      <c r="CQ823">
        <v>232</v>
      </c>
      <c r="CR823">
        <v>2</v>
      </c>
      <c r="CW823">
        <v>6346142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1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"12/16/2021 14:46:12.053"</f>
        <v>12/16/2021 14:46:12.053</v>
      </c>
      <c r="C824" t="str">
        <f t="shared" si="37"/>
        <v>FFDFD3C0</v>
      </c>
      <c r="D824" t="s">
        <v>124</v>
      </c>
      <c r="E824">
        <v>5</v>
      </c>
      <c r="F824">
        <v>1005</v>
      </c>
      <c r="G824" t="s">
        <v>114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"14:46:11.805"</f>
        <v>14:46:11.805</v>
      </c>
      <c r="T824" t="str">
        <f>"14:46:11.305"</f>
        <v>14:46:11.305</v>
      </c>
      <c r="U824" t="str">
        <f t="shared" si="36"/>
        <v>A0F928</v>
      </c>
      <c r="V824">
        <v>0</v>
      </c>
      <c r="W824">
        <v>0</v>
      </c>
      <c r="X824">
        <v>2</v>
      </c>
      <c r="Z824">
        <v>0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1</v>
      </c>
      <c r="AI824" t="s">
        <v>516</v>
      </c>
      <c r="AJ824">
        <v>35.807383000000002</v>
      </c>
      <c r="AK824" t="s">
        <v>517</v>
      </c>
      <c r="AL824">
        <v>-83.954322000000005</v>
      </c>
      <c r="AM824">
        <v>25</v>
      </c>
      <c r="AN824">
        <v>1550</v>
      </c>
      <c r="AO824" t="s">
        <v>118</v>
      </c>
      <c r="AP824">
        <v>-42</v>
      </c>
      <c r="AQ824">
        <v>121</v>
      </c>
      <c r="AR824">
        <v>-192</v>
      </c>
      <c r="AZ824">
        <v>300</v>
      </c>
      <c r="BA824">
        <v>1</v>
      </c>
      <c r="BB824" t="str">
        <f t="shared" si="38"/>
        <v xml:space="preserve">N162AM  </v>
      </c>
      <c r="BC824">
        <v>1</v>
      </c>
      <c r="BE824">
        <v>0</v>
      </c>
      <c r="BF824">
        <v>0</v>
      </c>
      <c r="BG824">
        <v>0</v>
      </c>
      <c r="BH824">
        <v>1800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>"14:46:11.807"</f>
        <v>14:46:11.807</v>
      </c>
      <c r="CJ824">
        <v>3</v>
      </c>
      <c r="CK824">
        <v>2</v>
      </c>
      <c r="CL824">
        <v>0</v>
      </c>
      <c r="CM824">
        <v>2</v>
      </c>
      <c r="CN824">
        <v>0</v>
      </c>
      <c r="CO824">
        <v>5</v>
      </c>
      <c r="CP824" t="s">
        <v>119</v>
      </c>
      <c r="CQ824">
        <v>232</v>
      </c>
      <c r="CR824">
        <v>2</v>
      </c>
      <c r="CW824">
        <v>6346142</v>
      </c>
      <c r="CY824">
        <v>1</v>
      </c>
      <c r="CZ824">
        <v>0</v>
      </c>
      <c r="DA824">
        <v>1</v>
      </c>
      <c r="DB824">
        <v>0</v>
      </c>
      <c r="DC824">
        <v>0</v>
      </c>
      <c r="DD824">
        <v>1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"12/16/2021 14:46:13.116"</f>
        <v>12/16/2021 14:46:13.116</v>
      </c>
      <c r="C825" t="str">
        <f t="shared" si="37"/>
        <v>FFDFD3C0</v>
      </c>
      <c r="D825" t="s">
        <v>133</v>
      </c>
      <c r="E825">
        <v>44</v>
      </c>
      <c r="H825">
        <v>131</v>
      </c>
      <c r="I825" t="s">
        <v>134</v>
      </c>
      <c r="J825" t="s">
        <v>135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"14:46:12.867"</f>
        <v>14:46:12.867</v>
      </c>
      <c r="T825" t="str">
        <f>"14:46:12.467"</f>
        <v>14:46:12.467</v>
      </c>
      <c r="U825" t="str">
        <f t="shared" si="36"/>
        <v>A0F928</v>
      </c>
      <c r="V825">
        <v>0</v>
      </c>
      <c r="W825">
        <v>0</v>
      </c>
      <c r="X825">
        <v>2</v>
      </c>
      <c r="Z825">
        <v>0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1</v>
      </c>
      <c r="AI825" t="s">
        <v>518</v>
      </c>
      <c r="AJ825">
        <v>35.807983999999998</v>
      </c>
      <c r="AK825" t="s">
        <v>519</v>
      </c>
      <c r="AL825">
        <v>-83.954537000000002</v>
      </c>
      <c r="AM825">
        <v>25</v>
      </c>
      <c r="AN825">
        <v>1550</v>
      </c>
      <c r="AO825" t="s">
        <v>118</v>
      </c>
      <c r="AP825">
        <v>-36</v>
      </c>
      <c r="AQ825">
        <v>124</v>
      </c>
      <c r="AR825">
        <v>-256</v>
      </c>
      <c r="AZ825">
        <v>300</v>
      </c>
      <c r="BA825">
        <v>1</v>
      </c>
      <c r="BB825" t="str">
        <f t="shared" si="38"/>
        <v xml:space="preserve">N162AM  </v>
      </c>
      <c r="BC825">
        <v>1</v>
      </c>
      <c r="BE825">
        <v>0</v>
      </c>
      <c r="BF825">
        <v>0</v>
      </c>
      <c r="BG825">
        <v>0</v>
      </c>
      <c r="BH825">
        <v>1800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>"14:46:12.869"</f>
        <v>14:46:12.869</v>
      </c>
      <c r="CJ825">
        <v>3</v>
      </c>
      <c r="CK825">
        <v>2</v>
      </c>
      <c r="CL825">
        <v>0</v>
      </c>
      <c r="CM825">
        <v>2</v>
      </c>
      <c r="CN825">
        <v>0</v>
      </c>
      <c r="CO825">
        <v>3</v>
      </c>
      <c r="CP825" t="s">
        <v>119</v>
      </c>
      <c r="CQ825">
        <v>232</v>
      </c>
      <c r="CR825">
        <v>1</v>
      </c>
      <c r="CW825">
        <v>15154977</v>
      </c>
      <c r="CY825">
        <v>1</v>
      </c>
      <c r="CZ825">
        <v>0</v>
      </c>
      <c r="DA825">
        <v>0</v>
      </c>
      <c r="DB825">
        <v>0</v>
      </c>
      <c r="DC825">
        <v>0</v>
      </c>
      <c r="DD825">
        <v>1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"12/16/2021 14:46:13.116"</f>
        <v>12/16/2021 14:46:13.116</v>
      </c>
      <c r="C826" t="str">
        <f t="shared" si="37"/>
        <v>FFDFD3C0</v>
      </c>
      <c r="D826" t="s">
        <v>113</v>
      </c>
      <c r="E826">
        <v>8</v>
      </c>
      <c r="H826">
        <v>176</v>
      </c>
      <c r="I826" t="s">
        <v>114</v>
      </c>
      <c r="J826" t="s">
        <v>115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"14:46:12.867"</f>
        <v>14:46:12.867</v>
      </c>
      <c r="T826" t="str">
        <f>"14:46:12.467"</f>
        <v>14:46:12.467</v>
      </c>
      <c r="U826" t="str">
        <f t="shared" si="36"/>
        <v>A0F928</v>
      </c>
      <c r="V826">
        <v>0</v>
      </c>
      <c r="W826">
        <v>0</v>
      </c>
      <c r="X826">
        <v>2</v>
      </c>
      <c r="Z826">
        <v>0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1</v>
      </c>
      <c r="AI826" t="s">
        <v>518</v>
      </c>
      <c r="AJ826">
        <v>35.807983999999998</v>
      </c>
      <c r="AK826" t="s">
        <v>519</v>
      </c>
      <c r="AL826">
        <v>-83.954537000000002</v>
      </c>
      <c r="AM826">
        <v>25</v>
      </c>
      <c r="AN826">
        <v>1550</v>
      </c>
      <c r="AO826" t="s">
        <v>118</v>
      </c>
      <c r="AP826">
        <v>-36</v>
      </c>
      <c r="AQ826">
        <v>124</v>
      </c>
      <c r="AR826">
        <v>-256</v>
      </c>
      <c r="AZ826">
        <v>300</v>
      </c>
      <c r="BA826">
        <v>1</v>
      </c>
      <c r="BB826" t="str">
        <f t="shared" si="38"/>
        <v xml:space="preserve">N162AM  </v>
      </c>
      <c r="BC826">
        <v>1</v>
      </c>
      <c r="BE826">
        <v>0</v>
      </c>
      <c r="BF826">
        <v>0</v>
      </c>
      <c r="BG826">
        <v>0</v>
      </c>
      <c r="BH826">
        <v>1800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>"14:46:12.869"</f>
        <v>14:46:12.869</v>
      </c>
      <c r="CJ826">
        <v>3</v>
      </c>
      <c r="CK826">
        <v>2</v>
      </c>
      <c r="CL826">
        <v>0</v>
      </c>
      <c r="CM826">
        <v>2</v>
      </c>
      <c r="CN826">
        <v>0</v>
      </c>
      <c r="CO826">
        <v>3</v>
      </c>
      <c r="CP826" t="s">
        <v>119</v>
      </c>
      <c r="CQ826">
        <v>232</v>
      </c>
      <c r="CR826">
        <v>1</v>
      </c>
      <c r="CW826">
        <v>15154977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1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"12/16/2021 14:46:13.116"</f>
        <v>12/16/2021 14:46:13.116</v>
      </c>
      <c r="C827" t="str">
        <f t="shared" si="37"/>
        <v>FFDFD3C0</v>
      </c>
      <c r="D827" t="s">
        <v>124</v>
      </c>
      <c r="E827">
        <v>5</v>
      </c>
      <c r="F827">
        <v>1005</v>
      </c>
      <c r="G827" t="s">
        <v>114</v>
      </c>
      <c r="J827" t="s">
        <v>125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"14:46:12.867"</f>
        <v>14:46:12.867</v>
      </c>
      <c r="T827" t="str">
        <f>"14:46:12.467"</f>
        <v>14:46:12.467</v>
      </c>
      <c r="U827" t="str">
        <f t="shared" si="36"/>
        <v>A0F928</v>
      </c>
      <c r="V827">
        <v>0</v>
      </c>
      <c r="W827">
        <v>0</v>
      </c>
      <c r="X827">
        <v>2</v>
      </c>
      <c r="Z827">
        <v>0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1</v>
      </c>
      <c r="AI827" t="s">
        <v>518</v>
      </c>
      <c r="AJ827">
        <v>35.807983999999998</v>
      </c>
      <c r="AK827" t="s">
        <v>519</v>
      </c>
      <c r="AL827">
        <v>-83.954537000000002</v>
      </c>
      <c r="AM827">
        <v>25</v>
      </c>
      <c r="AN827">
        <v>1550</v>
      </c>
      <c r="AO827" t="s">
        <v>118</v>
      </c>
      <c r="AP827">
        <v>-36</v>
      </c>
      <c r="AQ827">
        <v>124</v>
      </c>
      <c r="AR827">
        <v>-256</v>
      </c>
      <c r="AZ827">
        <v>300</v>
      </c>
      <c r="BA827">
        <v>1</v>
      </c>
      <c r="BB827" t="str">
        <f t="shared" si="38"/>
        <v xml:space="preserve">N162AM  </v>
      </c>
      <c r="BC827">
        <v>1</v>
      </c>
      <c r="BE827">
        <v>0</v>
      </c>
      <c r="BF827">
        <v>0</v>
      </c>
      <c r="BG827">
        <v>0</v>
      </c>
      <c r="BH827">
        <v>1800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>"14:46:12.869"</f>
        <v>14:46:12.869</v>
      </c>
      <c r="CJ827">
        <v>3</v>
      </c>
      <c r="CK827">
        <v>2</v>
      </c>
      <c r="CL827">
        <v>0</v>
      </c>
      <c r="CM827">
        <v>2</v>
      </c>
      <c r="CN827">
        <v>0</v>
      </c>
      <c r="CO827">
        <v>3</v>
      </c>
      <c r="CP827" t="s">
        <v>119</v>
      </c>
      <c r="CQ827">
        <v>232</v>
      </c>
      <c r="CR827">
        <v>1</v>
      </c>
      <c r="CW827">
        <v>15154977</v>
      </c>
      <c r="CY827">
        <v>1</v>
      </c>
      <c r="CZ827">
        <v>0</v>
      </c>
      <c r="DA827">
        <v>1</v>
      </c>
      <c r="DB827">
        <v>0</v>
      </c>
      <c r="DC827">
        <v>0</v>
      </c>
      <c r="DD827">
        <v>1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"12/16/2021 14:46:13.116"</f>
        <v>12/16/2021 14:46:13.116</v>
      </c>
      <c r="C828" t="str">
        <f t="shared" si="37"/>
        <v>FFDFD3C0</v>
      </c>
      <c r="D828" t="s">
        <v>124</v>
      </c>
      <c r="E828">
        <v>10</v>
      </c>
      <c r="F828">
        <v>1010</v>
      </c>
      <c r="G828" t="s">
        <v>130</v>
      </c>
      <c r="J828" t="s">
        <v>125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"14:46:12.867"</f>
        <v>14:46:12.867</v>
      </c>
      <c r="T828" t="str">
        <f>"14:46:12.467"</f>
        <v>14:46:12.467</v>
      </c>
      <c r="U828" t="str">
        <f t="shared" si="36"/>
        <v>A0F928</v>
      </c>
      <c r="V828">
        <v>0</v>
      </c>
      <c r="W828">
        <v>0</v>
      </c>
      <c r="X828">
        <v>2</v>
      </c>
      <c r="Z828">
        <v>0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1</v>
      </c>
      <c r="AI828" t="s">
        <v>518</v>
      </c>
      <c r="AJ828">
        <v>35.807983999999998</v>
      </c>
      <c r="AK828" t="s">
        <v>519</v>
      </c>
      <c r="AL828">
        <v>-83.954537000000002</v>
      </c>
      <c r="AM828">
        <v>25</v>
      </c>
      <c r="AN828">
        <v>1550</v>
      </c>
      <c r="AO828" t="s">
        <v>118</v>
      </c>
      <c r="AP828">
        <v>-36</v>
      </c>
      <c r="AQ828">
        <v>124</v>
      </c>
      <c r="AR828">
        <v>-256</v>
      </c>
      <c r="AZ828">
        <v>300</v>
      </c>
      <c r="BA828">
        <v>1</v>
      </c>
      <c r="BB828" t="str">
        <f t="shared" si="38"/>
        <v xml:space="preserve">N162AM  </v>
      </c>
      <c r="BC828">
        <v>1</v>
      </c>
      <c r="BE828">
        <v>0</v>
      </c>
      <c r="BF828">
        <v>0</v>
      </c>
      <c r="BG828">
        <v>0</v>
      </c>
      <c r="BH828">
        <v>1800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>"14:46:12.869"</f>
        <v>14:46:12.869</v>
      </c>
      <c r="CJ828">
        <v>3</v>
      </c>
      <c r="CK828">
        <v>2</v>
      </c>
      <c r="CL828">
        <v>0</v>
      </c>
      <c r="CM828">
        <v>2</v>
      </c>
      <c r="CN828">
        <v>0</v>
      </c>
      <c r="CO828">
        <v>3</v>
      </c>
      <c r="CP828" t="s">
        <v>119</v>
      </c>
      <c r="CQ828">
        <v>232</v>
      </c>
      <c r="CR828">
        <v>1</v>
      </c>
      <c r="CW828">
        <v>15154977</v>
      </c>
      <c r="CY828">
        <v>1</v>
      </c>
      <c r="CZ828">
        <v>0</v>
      </c>
      <c r="DA828">
        <v>1</v>
      </c>
      <c r="DB828">
        <v>0</v>
      </c>
      <c r="DC828">
        <v>0</v>
      </c>
      <c r="DD828">
        <v>1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"12/16/2021 14:46:14.147"</f>
        <v>12/16/2021 14:46:14.147</v>
      </c>
      <c r="C829" t="str">
        <f t="shared" si="37"/>
        <v>FFDFD3C0</v>
      </c>
      <c r="D829" t="s">
        <v>133</v>
      </c>
      <c r="E829">
        <v>44</v>
      </c>
      <c r="H829">
        <v>131</v>
      </c>
      <c r="I829" t="s">
        <v>134</v>
      </c>
      <c r="J829" t="s">
        <v>135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"14:46:13.930"</f>
        <v>14:46:13.930</v>
      </c>
      <c r="T829" t="str">
        <f>"14:46:13.430"</f>
        <v>14:46:13.430</v>
      </c>
      <c r="U829" t="str">
        <f t="shared" si="36"/>
        <v>A0F928</v>
      </c>
      <c r="V829">
        <v>0</v>
      </c>
      <c r="W829">
        <v>0</v>
      </c>
      <c r="X829">
        <v>2</v>
      </c>
      <c r="Z829">
        <v>0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1</v>
      </c>
      <c r="AI829" t="s">
        <v>520</v>
      </c>
      <c r="AJ829">
        <v>35.808585000000001</v>
      </c>
      <c r="AK829" t="s">
        <v>521</v>
      </c>
      <c r="AL829">
        <v>-83.954666000000003</v>
      </c>
      <c r="AM829">
        <v>25</v>
      </c>
      <c r="AN829">
        <v>1550</v>
      </c>
      <c r="AO829" t="s">
        <v>118</v>
      </c>
      <c r="AP829">
        <v>-28</v>
      </c>
      <c r="AQ829">
        <v>126</v>
      </c>
      <c r="AR829">
        <v>-64</v>
      </c>
      <c r="AZ829">
        <v>300</v>
      </c>
      <c r="BA829">
        <v>1</v>
      </c>
      <c r="BB829" t="str">
        <f t="shared" si="38"/>
        <v xml:space="preserve">N162AM  </v>
      </c>
      <c r="BC829">
        <v>1</v>
      </c>
      <c r="BE829">
        <v>0</v>
      </c>
      <c r="BF829">
        <v>0</v>
      </c>
      <c r="BG829">
        <v>0</v>
      </c>
      <c r="BH829">
        <v>1800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>"14:46:13.934"</f>
        <v>14:46:13.934</v>
      </c>
      <c r="CJ829">
        <v>3</v>
      </c>
      <c r="CK829">
        <v>2</v>
      </c>
      <c r="CL829">
        <v>0</v>
      </c>
      <c r="CM829">
        <v>2</v>
      </c>
      <c r="CN829">
        <v>0</v>
      </c>
      <c r="CO829">
        <v>5</v>
      </c>
      <c r="CP829" t="s">
        <v>119</v>
      </c>
      <c r="CQ829">
        <v>232</v>
      </c>
      <c r="CR829">
        <v>1</v>
      </c>
      <c r="CW829">
        <v>15156652</v>
      </c>
      <c r="CY829">
        <v>1</v>
      </c>
      <c r="CZ829">
        <v>0</v>
      </c>
      <c r="DA829">
        <v>0</v>
      </c>
      <c r="DB829">
        <v>0</v>
      </c>
      <c r="DC829">
        <v>0</v>
      </c>
      <c r="DD829">
        <v>1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"12/16/2021 14:46:14.147"</f>
        <v>12/16/2021 14:46:14.147</v>
      </c>
      <c r="C830" t="str">
        <f t="shared" si="37"/>
        <v>FFDFD3C0</v>
      </c>
      <c r="D830" t="s">
        <v>124</v>
      </c>
      <c r="E830">
        <v>5</v>
      </c>
      <c r="F830">
        <v>1005</v>
      </c>
      <c r="G830" t="s">
        <v>114</v>
      </c>
      <c r="J830" t="s">
        <v>125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"14:46:13.930"</f>
        <v>14:46:13.930</v>
      </c>
      <c r="T830" t="str">
        <f>"14:46:13.430"</f>
        <v>14:46:13.430</v>
      </c>
      <c r="U830" t="str">
        <f t="shared" si="36"/>
        <v>A0F928</v>
      </c>
      <c r="V830">
        <v>0</v>
      </c>
      <c r="W830">
        <v>0</v>
      </c>
      <c r="X830">
        <v>2</v>
      </c>
      <c r="Z830">
        <v>0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2</v>
      </c>
      <c r="AH830">
        <v>1</v>
      </c>
      <c r="AI830" t="s">
        <v>520</v>
      </c>
      <c r="AJ830">
        <v>35.808585000000001</v>
      </c>
      <c r="AK830" t="s">
        <v>521</v>
      </c>
      <c r="AL830">
        <v>-83.954666000000003</v>
      </c>
      <c r="AM830">
        <v>25</v>
      </c>
      <c r="AN830">
        <v>1550</v>
      </c>
      <c r="AO830" t="s">
        <v>118</v>
      </c>
      <c r="AP830">
        <v>-28</v>
      </c>
      <c r="AQ830">
        <v>126</v>
      </c>
      <c r="AR830">
        <v>-64</v>
      </c>
      <c r="AZ830">
        <v>300</v>
      </c>
      <c r="BA830">
        <v>1</v>
      </c>
      <c r="BB830" t="str">
        <f t="shared" si="38"/>
        <v xml:space="preserve">N162AM  </v>
      </c>
      <c r="BC830">
        <v>1</v>
      </c>
      <c r="BE830">
        <v>0</v>
      </c>
      <c r="BF830">
        <v>0</v>
      </c>
      <c r="BG830">
        <v>0</v>
      </c>
      <c r="BH830">
        <v>1800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>"14:46:13.934"</f>
        <v>14:46:13.934</v>
      </c>
      <c r="CJ830">
        <v>3</v>
      </c>
      <c r="CK830">
        <v>2</v>
      </c>
      <c r="CL830">
        <v>0</v>
      </c>
      <c r="CM830">
        <v>2</v>
      </c>
      <c r="CN830">
        <v>0</v>
      </c>
      <c r="CO830">
        <v>5</v>
      </c>
      <c r="CP830" t="s">
        <v>119</v>
      </c>
      <c r="CQ830">
        <v>232</v>
      </c>
      <c r="CR830">
        <v>1</v>
      </c>
      <c r="CW830">
        <v>15156652</v>
      </c>
      <c r="CY830">
        <v>1</v>
      </c>
      <c r="CZ830">
        <v>0</v>
      </c>
      <c r="DA830">
        <v>1</v>
      </c>
      <c r="DB830">
        <v>0</v>
      </c>
      <c r="DC830">
        <v>0</v>
      </c>
      <c r="DD830">
        <v>1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"12/16/2021 14:46:14.147"</f>
        <v>12/16/2021 14:46:14.147</v>
      </c>
      <c r="C831" t="str">
        <f t="shared" si="37"/>
        <v>FFDFD3C0</v>
      </c>
      <c r="D831" t="s">
        <v>113</v>
      </c>
      <c r="E831">
        <v>8</v>
      </c>
      <c r="H831">
        <v>176</v>
      </c>
      <c r="I831" t="s">
        <v>114</v>
      </c>
      <c r="J831" t="s">
        <v>115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"14:46:13.930"</f>
        <v>14:46:13.930</v>
      </c>
      <c r="T831" t="str">
        <f>"14:46:13.430"</f>
        <v>14:46:13.430</v>
      </c>
      <c r="U831" t="str">
        <f t="shared" si="36"/>
        <v>A0F928</v>
      </c>
      <c r="V831">
        <v>0</v>
      </c>
      <c r="W831">
        <v>0</v>
      </c>
      <c r="X831">
        <v>2</v>
      </c>
      <c r="Z831">
        <v>0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1</v>
      </c>
      <c r="AI831" t="s">
        <v>520</v>
      </c>
      <c r="AJ831">
        <v>35.808585000000001</v>
      </c>
      <c r="AK831" t="s">
        <v>521</v>
      </c>
      <c r="AL831">
        <v>-83.954666000000003</v>
      </c>
      <c r="AM831">
        <v>25</v>
      </c>
      <c r="AN831">
        <v>1550</v>
      </c>
      <c r="AO831" t="s">
        <v>118</v>
      </c>
      <c r="AP831">
        <v>-28</v>
      </c>
      <c r="AQ831">
        <v>126</v>
      </c>
      <c r="AR831">
        <v>-64</v>
      </c>
      <c r="AZ831">
        <v>300</v>
      </c>
      <c r="BA831">
        <v>1</v>
      </c>
      <c r="BB831" t="str">
        <f t="shared" si="38"/>
        <v xml:space="preserve">N162AM  </v>
      </c>
      <c r="BC831">
        <v>1</v>
      </c>
      <c r="BE831">
        <v>0</v>
      </c>
      <c r="BF831">
        <v>0</v>
      </c>
      <c r="BG831">
        <v>0</v>
      </c>
      <c r="BH831">
        <v>1800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>"14:46:13.934"</f>
        <v>14:46:13.934</v>
      </c>
      <c r="CJ831">
        <v>3</v>
      </c>
      <c r="CK831">
        <v>2</v>
      </c>
      <c r="CL831">
        <v>0</v>
      </c>
      <c r="CM831">
        <v>2</v>
      </c>
      <c r="CN831">
        <v>0</v>
      </c>
      <c r="CO831">
        <v>5</v>
      </c>
      <c r="CP831" t="s">
        <v>119</v>
      </c>
      <c r="CQ831">
        <v>232</v>
      </c>
      <c r="CR831">
        <v>1</v>
      </c>
      <c r="CW831">
        <v>15156652</v>
      </c>
      <c r="CY831">
        <v>1</v>
      </c>
      <c r="CZ831">
        <v>0</v>
      </c>
      <c r="DA831">
        <v>1</v>
      </c>
      <c r="DB831">
        <v>0</v>
      </c>
      <c r="DC831">
        <v>0</v>
      </c>
      <c r="DD831">
        <v>1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"12/16/2021 14:46:14.289"</f>
        <v>12/16/2021 14:46:14.289</v>
      </c>
      <c r="C832" t="str">
        <f t="shared" si="37"/>
        <v>FFDFD3C0</v>
      </c>
      <c r="D832" t="s">
        <v>124</v>
      </c>
      <c r="E832">
        <v>10</v>
      </c>
      <c r="F832">
        <v>1010</v>
      </c>
      <c r="G832" t="s">
        <v>130</v>
      </c>
      <c r="J832" t="s">
        <v>125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"14:46:13.930"</f>
        <v>14:46:13.930</v>
      </c>
      <c r="T832" t="str">
        <f>"14:46:13.430"</f>
        <v>14:46:13.430</v>
      </c>
      <c r="U832" t="str">
        <f t="shared" si="36"/>
        <v>A0F928</v>
      </c>
      <c r="V832">
        <v>0</v>
      </c>
      <c r="W832">
        <v>0</v>
      </c>
      <c r="X832">
        <v>2</v>
      </c>
      <c r="Z832">
        <v>0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1</v>
      </c>
      <c r="AI832" t="s">
        <v>520</v>
      </c>
      <c r="AJ832">
        <v>35.808585000000001</v>
      </c>
      <c r="AK832" t="s">
        <v>521</v>
      </c>
      <c r="AL832">
        <v>-83.954666000000003</v>
      </c>
      <c r="AM832">
        <v>25</v>
      </c>
      <c r="AN832">
        <v>1550</v>
      </c>
      <c r="AO832" t="s">
        <v>118</v>
      </c>
      <c r="AP832">
        <v>-28</v>
      </c>
      <c r="AQ832">
        <v>126</v>
      </c>
      <c r="AR832">
        <v>-64</v>
      </c>
      <c r="AZ832">
        <v>300</v>
      </c>
      <c r="BA832">
        <v>1</v>
      </c>
      <c r="BB832" t="str">
        <f t="shared" si="38"/>
        <v xml:space="preserve">N162AM  </v>
      </c>
      <c r="BC832">
        <v>1</v>
      </c>
      <c r="BE832">
        <v>0</v>
      </c>
      <c r="BF832">
        <v>0</v>
      </c>
      <c r="BG832">
        <v>0</v>
      </c>
      <c r="BH832">
        <v>1800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>"14:46:13.934"</f>
        <v>14:46:13.934</v>
      </c>
      <c r="CJ832">
        <v>3</v>
      </c>
      <c r="CK832">
        <v>2</v>
      </c>
      <c r="CL832">
        <v>0</v>
      </c>
      <c r="CM832">
        <v>2</v>
      </c>
      <c r="CN832">
        <v>0</v>
      </c>
      <c r="CO832">
        <v>5</v>
      </c>
      <c r="CP832" t="s">
        <v>119</v>
      </c>
      <c r="CQ832">
        <v>232</v>
      </c>
      <c r="CR832">
        <v>1</v>
      </c>
      <c r="CW832">
        <v>15156652</v>
      </c>
      <c r="CY832">
        <v>1</v>
      </c>
      <c r="CZ832">
        <v>0</v>
      </c>
      <c r="DA832">
        <v>1</v>
      </c>
      <c r="DB832">
        <v>0</v>
      </c>
      <c r="DC832">
        <v>0</v>
      </c>
      <c r="DD832">
        <v>1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"12/16/2021 14:46:15.131"</f>
        <v>12/16/2021 14:46:15.131</v>
      </c>
      <c r="C833" t="str">
        <f t="shared" si="37"/>
        <v>FFDFD3C0</v>
      </c>
      <c r="D833" t="s">
        <v>124</v>
      </c>
      <c r="E833">
        <v>10</v>
      </c>
      <c r="F833">
        <v>1010</v>
      </c>
      <c r="G833" t="s">
        <v>130</v>
      </c>
      <c r="J833" t="s">
        <v>125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"14:46:14.914"</f>
        <v>14:46:14.914</v>
      </c>
      <c r="T833" t="str">
        <f>"14:46:14.514"</f>
        <v>14:46:14.514</v>
      </c>
      <c r="U833" t="str">
        <f t="shared" si="36"/>
        <v>A0F928</v>
      </c>
      <c r="V833">
        <v>0</v>
      </c>
      <c r="W833">
        <v>0</v>
      </c>
      <c r="X833">
        <v>2</v>
      </c>
      <c r="Z833">
        <v>0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1</v>
      </c>
      <c r="AI833" t="s">
        <v>522</v>
      </c>
      <c r="AJ833">
        <v>35.809185999999997</v>
      </c>
      <c r="AK833" t="s">
        <v>523</v>
      </c>
      <c r="AL833">
        <v>-83.954773000000003</v>
      </c>
      <c r="AM833">
        <v>25</v>
      </c>
      <c r="AN833">
        <v>1550</v>
      </c>
      <c r="AO833" t="s">
        <v>118</v>
      </c>
      <c r="AP833">
        <v>-19</v>
      </c>
      <c r="AQ833">
        <v>128</v>
      </c>
      <c r="AR833">
        <v>64</v>
      </c>
      <c r="AZ833">
        <v>300</v>
      </c>
      <c r="BA833">
        <v>1</v>
      </c>
      <c r="BB833" t="str">
        <f t="shared" si="38"/>
        <v xml:space="preserve">N162AM  </v>
      </c>
      <c r="BC833">
        <v>1</v>
      </c>
      <c r="BE833">
        <v>0</v>
      </c>
      <c r="BF833">
        <v>0</v>
      </c>
      <c r="BG833">
        <v>0</v>
      </c>
      <c r="BH833">
        <v>1800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>"14:46:14.920"</f>
        <v>14:46:14.920</v>
      </c>
      <c r="CJ833">
        <v>3</v>
      </c>
      <c r="CK833">
        <v>2</v>
      </c>
      <c r="CL833">
        <v>0</v>
      </c>
      <c r="CM833">
        <v>2</v>
      </c>
      <c r="CN833">
        <v>0</v>
      </c>
      <c r="CO833">
        <v>6</v>
      </c>
      <c r="CP833" t="s">
        <v>119</v>
      </c>
      <c r="CQ833">
        <v>232</v>
      </c>
      <c r="CR833">
        <v>1</v>
      </c>
      <c r="CW833">
        <v>15158251</v>
      </c>
      <c r="CY833">
        <v>1</v>
      </c>
      <c r="CZ833">
        <v>0</v>
      </c>
      <c r="DA833">
        <v>0</v>
      </c>
      <c r="DB833">
        <v>0</v>
      </c>
      <c r="DC833">
        <v>0</v>
      </c>
      <c r="DD833">
        <v>1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"12/16/2021 14:46:15.194"</f>
        <v>12/16/2021 14:46:15.194</v>
      </c>
      <c r="C834" t="str">
        <f t="shared" si="37"/>
        <v>FFDFD3C0</v>
      </c>
      <c r="D834" t="s">
        <v>133</v>
      </c>
      <c r="E834">
        <v>44</v>
      </c>
      <c r="H834">
        <v>131</v>
      </c>
      <c r="I834" t="s">
        <v>134</v>
      </c>
      <c r="J834" t="s">
        <v>135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"14:46:14.914"</f>
        <v>14:46:14.914</v>
      </c>
      <c r="T834" t="str">
        <f>"14:46:14.514"</f>
        <v>14:46:14.514</v>
      </c>
      <c r="U834" t="str">
        <f t="shared" ref="U834:U897" si="39">"A0F928"</f>
        <v>A0F928</v>
      </c>
      <c r="V834">
        <v>0</v>
      </c>
      <c r="W834">
        <v>0</v>
      </c>
      <c r="X834">
        <v>2</v>
      </c>
      <c r="Z834">
        <v>0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1</v>
      </c>
      <c r="AI834" t="s">
        <v>522</v>
      </c>
      <c r="AJ834">
        <v>35.809185999999997</v>
      </c>
      <c r="AK834" t="s">
        <v>523</v>
      </c>
      <c r="AL834">
        <v>-83.954773000000003</v>
      </c>
      <c r="AM834">
        <v>25</v>
      </c>
      <c r="AN834">
        <v>1550</v>
      </c>
      <c r="AO834" t="s">
        <v>118</v>
      </c>
      <c r="AP834">
        <v>-19</v>
      </c>
      <c r="AQ834">
        <v>128</v>
      </c>
      <c r="AR834">
        <v>64</v>
      </c>
      <c r="AZ834">
        <v>300</v>
      </c>
      <c r="BA834">
        <v>1</v>
      </c>
      <c r="BB834" t="str">
        <f t="shared" si="38"/>
        <v xml:space="preserve">N162AM  </v>
      </c>
      <c r="BC834">
        <v>1</v>
      </c>
      <c r="BE834">
        <v>0</v>
      </c>
      <c r="BF834">
        <v>0</v>
      </c>
      <c r="BG834">
        <v>0</v>
      </c>
      <c r="BH834">
        <v>1800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>"14:46:14.920"</f>
        <v>14:46:14.920</v>
      </c>
      <c r="CJ834">
        <v>3</v>
      </c>
      <c r="CK834">
        <v>2</v>
      </c>
      <c r="CL834">
        <v>0</v>
      </c>
      <c r="CM834">
        <v>2</v>
      </c>
      <c r="CN834">
        <v>0</v>
      </c>
      <c r="CO834">
        <v>6</v>
      </c>
      <c r="CP834" t="s">
        <v>119</v>
      </c>
      <c r="CQ834">
        <v>232</v>
      </c>
      <c r="CR834">
        <v>1</v>
      </c>
      <c r="CW834">
        <v>15158251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1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"12/16/2021 14:46:15.194"</f>
        <v>12/16/2021 14:46:15.194</v>
      </c>
      <c r="C835" t="str">
        <f t="shared" si="37"/>
        <v>FFDFD3C0</v>
      </c>
      <c r="D835" t="s">
        <v>124</v>
      </c>
      <c r="E835">
        <v>5</v>
      </c>
      <c r="F835">
        <v>1005</v>
      </c>
      <c r="G835" t="s">
        <v>114</v>
      </c>
      <c r="J835" t="s">
        <v>125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"14:46:14.914"</f>
        <v>14:46:14.914</v>
      </c>
      <c r="T835" t="str">
        <f>"14:46:14.514"</f>
        <v>14:46:14.514</v>
      </c>
      <c r="U835" t="str">
        <f t="shared" si="39"/>
        <v>A0F928</v>
      </c>
      <c r="V835">
        <v>0</v>
      </c>
      <c r="W835">
        <v>0</v>
      </c>
      <c r="X835">
        <v>2</v>
      </c>
      <c r="Z835">
        <v>0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1</v>
      </c>
      <c r="AI835" t="s">
        <v>522</v>
      </c>
      <c r="AJ835">
        <v>35.809185999999997</v>
      </c>
      <c r="AK835" t="s">
        <v>523</v>
      </c>
      <c r="AL835">
        <v>-83.954773000000003</v>
      </c>
      <c r="AM835">
        <v>25</v>
      </c>
      <c r="AN835">
        <v>1550</v>
      </c>
      <c r="AO835" t="s">
        <v>118</v>
      </c>
      <c r="AP835">
        <v>-19</v>
      </c>
      <c r="AQ835">
        <v>128</v>
      </c>
      <c r="AR835">
        <v>64</v>
      </c>
      <c r="AZ835">
        <v>300</v>
      </c>
      <c r="BA835">
        <v>1</v>
      </c>
      <c r="BB835" t="str">
        <f t="shared" si="38"/>
        <v xml:space="preserve">N162AM  </v>
      </c>
      <c r="BC835">
        <v>1</v>
      </c>
      <c r="BE835">
        <v>0</v>
      </c>
      <c r="BF835">
        <v>0</v>
      </c>
      <c r="BG835">
        <v>0</v>
      </c>
      <c r="BH835">
        <v>1800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>"14:46:14.920"</f>
        <v>14:46:14.920</v>
      </c>
      <c r="CJ835">
        <v>3</v>
      </c>
      <c r="CK835">
        <v>2</v>
      </c>
      <c r="CL835">
        <v>0</v>
      </c>
      <c r="CM835">
        <v>2</v>
      </c>
      <c r="CN835">
        <v>0</v>
      </c>
      <c r="CO835">
        <v>6</v>
      </c>
      <c r="CP835" t="s">
        <v>119</v>
      </c>
      <c r="CQ835">
        <v>232</v>
      </c>
      <c r="CR835">
        <v>1</v>
      </c>
      <c r="CW835">
        <v>15158251</v>
      </c>
      <c r="CY835">
        <v>1</v>
      </c>
      <c r="CZ835">
        <v>0</v>
      </c>
      <c r="DA835">
        <v>1</v>
      </c>
      <c r="DB835">
        <v>0</v>
      </c>
      <c r="DC835">
        <v>0</v>
      </c>
      <c r="DD835">
        <v>1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"12/16/2021 14:46:15.194"</f>
        <v>12/16/2021 14:46:15.194</v>
      </c>
      <c r="C836" t="str">
        <f t="shared" si="37"/>
        <v>FFDFD3C0</v>
      </c>
      <c r="D836" t="s">
        <v>113</v>
      </c>
      <c r="E836">
        <v>8</v>
      </c>
      <c r="H836">
        <v>176</v>
      </c>
      <c r="I836" t="s">
        <v>114</v>
      </c>
      <c r="J836" t="s">
        <v>115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"14:46:14.914"</f>
        <v>14:46:14.914</v>
      </c>
      <c r="T836" t="str">
        <f>"14:46:14.514"</f>
        <v>14:46:14.514</v>
      </c>
      <c r="U836" t="str">
        <f t="shared" si="39"/>
        <v>A0F928</v>
      </c>
      <c r="V836">
        <v>0</v>
      </c>
      <c r="W836">
        <v>0</v>
      </c>
      <c r="X836">
        <v>2</v>
      </c>
      <c r="Z836">
        <v>0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1</v>
      </c>
      <c r="AI836" t="s">
        <v>522</v>
      </c>
      <c r="AJ836">
        <v>35.809185999999997</v>
      </c>
      <c r="AK836" t="s">
        <v>523</v>
      </c>
      <c r="AL836">
        <v>-83.954773000000003</v>
      </c>
      <c r="AM836">
        <v>25</v>
      </c>
      <c r="AN836">
        <v>1550</v>
      </c>
      <c r="AO836" t="s">
        <v>118</v>
      </c>
      <c r="AP836">
        <v>-19</v>
      </c>
      <c r="AQ836">
        <v>128</v>
      </c>
      <c r="AR836">
        <v>64</v>
      </c>
      <c r="AZ836">
        <v>300</v>
      </c>
      <c r="BA836">
        <v>1</v>
      </c>
      <c r="BB836" t="str">
        <f t="shared" si="38"/>
        <v xml:space="preserve">N162AM  </v>
      </c>
      <c r="BC836">
        <v>1</v>
      </c>
      <c r="BE836">
        <v>0</v>
      </c>
      <c r="BF836">
        <v>0</v>
      </c>
      <c r="BG836">
        <v>0</v>
      </c>
      <c r="BH836">
        <v>1800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>"14:46:14.920"</f>
        <v>14:46:14.920</v>
      </c>
      <c r="CJ836">
        <v>3</v>
      </c>
      <c r="CK836">
        <v>2</v>
      </c>
      <c r="CL836">
        <v>0</v>
      </c>
      <c r="CM836">
        <v>2</v>
      </c>
      <c r="CN836">
        <v>0</v>
      </c>
      <c r="CO836">
        <v>6</v>
      </c>
      <c r="CP836" t="s">
        <v>119</v>
      </c>
      <c r="CQ836">
        <v>232</v>
      </c>
      <c r="CR836">
        <v>1</v>
      </c>
      <c r="CW836">
        <v>15158251</v>
      </c>
      <c r="CY836">
        <v>1</v>
      </c>
      <c r="CZ836">
        <v>0</v>
      </c>
      <c r="DA836">
        <v>1</v>
      </c>
      <c r="DB836">
        <v>0</v>
      </c>
      <c r="DC836">
        <v>0</v>
      </c>
      <c r="DD836">
        <v>1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"12/16/2021 14:46:16.084"</f>
        <v>12/16/2021 14:46:16.084</v>
      </c>
      <c r="C837" t="str">
        <f t="shared" si="37"/>
        <v>FFDFD3C0</v>
      </c>
      <c r="D837" t="s">
        <v>124</v>
      </c>
      <c r="E837">
        <v>10</v>
      </c>
      <c r="F837">
        <v>1010</v>
      </c>
      <c r="G837" t="s">
        <v>130</v>
      </c>
      <c r="J837" t="s">
        <v>125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"14:46:15.891"</f>
        <v>14:46:15.891</v>
      </c>
      <c r="T837" t="str">
        <f>"14:46:15.491"</f>
        <v>14:46:15.491</v>
      </c>
      <c r="U837" t="str">
        <f t="shared" si="39"/>
        <v>A0F928</v>
      </c>
      <c r="V837">
        <v>0</v>
      </c>
      <c r="W837">
        <v>0</v>
      </c>
      <c r="X837">
        <v>2</v>
      </c>
      <c r="Z837">
        <v>0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1</v>
      </c>
      <c r="AI837" t="s">
        <v>524</v>
      </c>
      <c r="AJ837">
        <v>35.809742999999997</v>
      </c>
      <c r="AK837" t="s">
        <v>525</v>
      </c>
      <c r="AL837">
        <v>-83.954836999999998</v>
      </c>
      <c r="AM837">
        <v>25</v>
      </c>
      <c r="AN837">
        <v>1550</v>
      </c>
      <c r="AO837" t="s">
        <v>118</v>
      </c>
      <c r="AP837">
        <v>-12</v>
      </c>
      <c r="AQ837">
        <v>129</v>
      </c>
      <c r="AR837">
        <v>128</v>
      </c>
      <c r="AZ837">
        <v>300</v>
      </c>
      <c r="BA837">
        <v>1</v>
      </c>
      <c r="BB837" t="str">
        <f t="shared" si="38"/>
        <v xml:space="preserve">N162AM  </v>
      </c>
      <c r="BC837">
        <v>1</v>
      </c>
      <c r="BE837">
        <v>0</v>
      </c>
      <c r="BF837">
        <v>0</v>
      </c>
      <c r="BG837">
        <v>0</v>
      </c>
      <c r="BH837">
        <v>1825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>"14:46:15.893"</f>
        <v>14:46:15.893</v>
      </c>
      <c r="CJ837">
        <v>3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232</v>
      </c>
      <c r="CR837">
        <v>1</v>
      </c>
      <c r="CW837">
        <v>15159795</v>
      </c>
      <c r="CY837">
        <v>1</v>
      </c>
      <c r="CZ837">
        <v>0</v>
      </c>
      <c r="DA837">
        <v>0</v>
      </c>
      <c r="DB837">
        <v>0</v>
      </c>
      <c r="DC837">
        <v>0</v>
      </c>
      <c r="DD837">
        <v>1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"12/16/2021 14:46:16.116"</f>
        <v>12/16/2021 14:46:16.116</v>
      </c>
      <c r="C838" t="str">
        <f t="shared" si="37"/>
        <v>FFDFD3C0</v>
      </c>
      <c r="D838" t="s">
        <v>133</v>
      </c>
      <c r="E838">
        <v>44</v>
      </c>
      <c r="H838">
        <v>131</v>
      </c>
      <c r="I838" t="s">
        <v>134</v>
      </c>
      <c r="J838" t="s">
        <v>135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"14:46:15.891"</f>
        <v>14:46:15.891</v>
      </c>
      <c r="T838" t="str">
        <f>"14:46:15.491"</f>
        <v>14:46:15.491</v>
      </c>
      <c r="U838" t="str">
        <f t="shared" si="39"/>
        <v>A0F928</v>
      </c>
      <c r="V838">
        <v>0</v>
      </c>
      <c r="W838">
        <v>0</v>
      </c>
      <c r="X838">
        <v>2</v>
      </c>
      <c r="Z838">
        <v>0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1</v>
      </c>
      <c r="AI838" t="s">
        <v>524</v>
      </c>
      <c r="AJ838">
        <v>35.809742999999997</v>
      </c>
      <c r="AK838" t="s">
        <v>525</v>
      </c>
      <c r="AL838">
        <v>-83.954836999999998</v>
      </c>
      <c r="AM838">
        <v>25</v>
      </c>
      <c r="AN838">
        <v>1550</v>
      </c>
      <c r="AO838" t="s">
        <v>118</v>
      </c>
      <c r="AP838">
        <v>-12</v>
      </c>
      <c r="AQ838">
        <v>129</v>
      </c>
      <c r="AR838">
        <v>128</v>
      </c>
      <c r="AZ838">
        <v>300</v>
      </c>
      <c r="BA838">
        <v>1</v>
      </c>
      <c r="BB838" t="str">
        <f t="shared" si="38"/>
        <v xml:space="preserve">N162AM  </v>
      </c>
      <c r="BC838">
        <v>1</v>
      </c>
      <c r="BE838">
        <v>0</v>
      </c>
      <c r="BF838">
        <v>0</v>
      </c>
      <c r="BG838">
        <v>0</v>
      </c>
      <c r="BH838">
        <v>1825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>"14:46:15.893"</f>
        <v>14:46:15.893</v>
      </c>
      <c r="CJ838">
        <v>3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232</v>
      </c>
      <c r="CR838">
        <v>1</v>
      </c>
      <c r="CW838">
        <v>15159795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1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"12/16/2021 14:46:16.116"</f>
        <v>12/16/2021 14:46:16.116</v>
      </c>
      <c r="C839" t="str">
        <f t="shared" si="37"/>
        <v>FFDFD3C0</v>
      </c>
      <c r="D839" t="s">
        <v>124</v>
      </c>
      <c r="E839">
        <v>5</v>
      </c>
      <c r="F839">
        <v>1005</v>
      </c>
      <c r="G839" t="s">
        <v>114</v>
      </c>
      <c r="J839" t="s">
        <v>125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"14:46:15.891"</f>
        <v>14:46:15.891</v>
      </c>
      <c r="T839" t="str">
        <f>"14:46:15.491"</f>
        <v>14:46:15.491</v>
      </c>
      <c r="U839" t="str">
        <f t="shared" si="39"/>
        <v>A0F928</v>
      </c>
      <c r="V839">
        <v>0</v>
      </c>
      <c r="W839">
        <v>0</v>
      </c>
      <c r="X839">
        <v>2</v>
      </c>
      <c r="Z839">
        <v>0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1</v>
      </c>
      <c r="AI839" t="s">
        <v>524</v>
      </c>
      <c r="AJ839">
        <v>35.809742999999997</v>
      </c>
      <c r="AK839" t="s">
        <v>525</v>
      </c>
      <c r="AL839">
        <v>-83.954836999999998</v>
      </c>
      <c r="AM839">
        <v>25</v>
      </c>
      <c r="AN839">
        <v>1550</v>
      </c>
      <c r="AO839" t="s">
        <v>118</v>
      </c>
      <c r="AP839">
        <v>-12</v>
      </c>
      <c r="AQ839">
        <v>129</v>
      </c>
      <c r="AR839">
        <v>128</v>
      </c>
      <c r="AZ839">
        <v>300</v>
      </c>
      <c r="BA839">
        <v>1</v>
      </c>
      <c r="BB839" t="str">
        <f t="shared" si="38"/>
        <v xml:space="preserve">N162AM  </v>
      </c>
      <c r="BC839">
        <v>1</v>
      </c>
      <c r="BE839">
        <v>0</v>
      </c>
      <c r="BF839">
        <v>0</v>
      </c>
      <c r="BG839">
        <v>0</v>
      </c>
      <c r="BH839">
        <v>1825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>"14:46:15.893"</f>
        <v>14:46:15.893</v>
      </c>
      <c r="CJ839">
        <v>3</v>
      </c>
      <c r="CK839">
        <v>2</v>
      </c>
      <c r="CL839">
        <v>0</v>
      </c>
      <c r="CM839">
        <v>2</v>
      </c>
      <c r="CN839">
        <v>0</v>
      </c>
      <c r="CO839">
        <v>7</v>
      </c>
      <c r="CP839" t="s">
        <v>119</v>
      </c>
      <c r="CQ839">
        <v>232</v>
      </c>
      <c r="CR839">
        <v>1</v>
      </c>
      <c r="CW839">
        <v>15159795</v>
      </c>
      <c r="CY839">
        <v>1</v>
      </c>
      <c r="CZ839">
        <v>0</v>
      </c>
      <c r="DA839">
        <v>1</v>
      </c>
      <c r="DB839">
        <v>0</v>
      </c>
      <c r="DC839">
        <v>0</v>
      </c>
      <c r="DD839">
        <v>1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"12/16/2021 14:46:16.131"</f>
        <v>12/16/2021 14:46:16.131</v>
      </c>
      <c r="C840" t="str">
        <f t="shared" si="37"/>
        <v>FFDFD3C0</v>
      </c>
      <c r="D840" t="s">
        <v>113</v>
      </c>
      <c r="E840">
        <v>8</v>
      </c>
      <c r="H840">
        <v>176</v>
      </c>
      <c r="I840" t="s">
        <v>114</v>
      </c>
      <c r="J840" t="s">
        <v>115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"14:46:15.891"</f>
        <v>14:46:15.891</v>
      </c>
      <c r="T840" t="str">
        <f>"14:46:15.491"</f>
        <v>14:46:15.491</v>
      </c>
      <c r="U840" t="str">
        <f t="shared" si="39"/>
        <v>A0F928</v>
      </c>
      <c r="V840">
        <v>0</v>
      </c>
      <c r="W840">
        <v>0</v>
      </c>
      <c r="X840">
        <v>2</v>
      </c>
      <c r="Z840">
        <v>0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1</v>
      </c>
      <c r="AI840" t="s">
        <v>524</v>
      </c>
      <c r="AJ840">
        <v>35.809742999999997</v>
      </c>
      <c r="AK840" t="s">
        <v>525</v>
      </c>
      <c r="AL840">
        <v>-83.954836999999998</v>
      </c>
      <c r="AM840">
        <v>25</v>
      </c>
      <c r="AN840">
        <v>1550</v>
      </c>
      <c r="AO840" t="s">
        <v>118</v>
      </c>
      <c r="AP840">
        <v>-12</v>
      </c>
      <c r="AQ840">
        <v>129</v>
      </c>
      <c r="AR840">
        <v>128</v>
      </c>
      <c r="AZ840">
        <v>300</v>
      </c>
      <c r="BA840">
        <v>1</v>
      </c>
      <c r="BB840" t="str">
        <f t="shared" si="38"/>
        <v xml:space="preserve">N162AM  </v>
      </c>
      <c r="BC840">
        <v>1</v>
      </c>
      <c r="BE840">
        <v>0</v>
      </c>
      <c r="BF840">
        <v>0</v>
      </c>
      <c r="BG840">
        <v>0</v>
      </c>
      <c r="BH840">
        <v>1825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>"14:46:15.893"</f>
        <v>14:46:15.893</v>
      </c>
      <c r="CJ840">
        <v>3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232</v>
      </c>
      <c r="CR840">
        <v>1</v>
      </c>
      <c r="CW840">
        <v>15159795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1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"12/16/2021 14:46:17.178"</f>
        <v>12/16/2021 14:46:17.178</v>
      </c>
      <c r="C841" t="str">
        <f t="shared" si="37"/>
        <v>FFDFD3C0</v>
      </c>
      <c r="D841" t="s">
        <v>133</v>
      </c>
      <c r="E841">
        <v>44</v>
      </c>
      <c r="H841">
        <v>131</v>
      </c>
      <c r="I841" t="s">
        <v>134</v>
      </c>
      <c r="J841" t="s">
        <v>135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"14:46:16.961"</f>
        <v>14:46:16.961</v>
      </c>
      <c r="T841" t="str">
        <f>"14:46:16.461"</f>
        <v>14:46:16.461</v>
      </c>
      <c r="U841" t="str">
        <f t="shared" si="39"/>
        <v>A0F928</v>
      </c>
      <c r="V841">
        <v>0</v>
      </c>
      <c r="W841">
        <v>0</v>
      </c>
      <c r="X841">
        <v>2</v>
      </c>
      <c r="Z841">
        <v>0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1</v>
      </c>
      <c r="AI841" t="s">
        <v>374</v>
      </c>
      <c r="AJ841">
        <v>35.810429999999997</v>
      </c>
      <c r="AK841" t="s">
        <v>526</v>
      </c>
      <c r="AL841">
        <v>-83.954880000000003</v>
      </c>
      <c r="AM841">
        <v>25</v>
      </c>
      <c r="AN841">
        <v>1550</v>
      </c>
      <c r="AO841" t="s">
        <v>118</v>
      </c>
      <c r="AP841">
        <v>-4</v>
      </c>
      <c r="AQ841">
        <v>130</v>
      </c>
      <c r="AR841">
        <v>128</v>
      </c>
      <c r="AZ841">
        <v>300</v>
      </c>
      <c r="BA841">
        <v>1</v>
      </c>
      <c r="BB841" t="str">
        <f t="shared" si="38"/>
        <v xml:space="preserve">N162AM  </v>
      </c>
      <c r="BC841">
        <v>1</v>
      </c>
      <c r="BE841">
        <v>0</v>
      </c>
      <c r="BF841">
        <v>0</v>
      </c>
      <c r="BG841">
        <v>0</v>
      </c>
      <c r="BH841">
        <v>1825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>"14:46:16.965"</f>
        <v>14:46:16.965</v>
      </c>
      <c r="CJ841">
        <v>3</v>
      </c>
      <c r="CK841">
        <v>2</v>
      </c>
      <c r="CL841">
        <v>0</v>
      </c>
      <c r="CM841">
        <v>2</v>
      </c>
      <c r="CN841">
        <v>0</v>
      </c>
      <c r="CO841">
        <v>6</v>
      </c>
      <c r="CP841" t="s">
        <v>119</v>
      </c>
      <c r="CQ841">
        <v>232</v>
      </c>
      <c r="CR841">
        <v>1</v>
      </c>
      <c r="CW841">
        <v>15161429</v>
      </c>
      <c r="CY841">
        <v>1</v>
      </c>
      <c r="CZ841">
        <v>0</v>
      </c>
      <c r="DA841">
        <v>0</v>
      </c>
      <c r="DB841">
        <v>0</v>
      </c>
      <c r="DC841">
        <v>0</v>
      </c>
      <c r="DD841">
        <v>1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"12/16/2021 14:46:17.178"</f>
        <v>12/16/2021 14:46:17.178</v>
      </c>
      <c r="C842" t="str">
        <f t="shared" si="37"/>
        <v>FFDFD3C0</v>
      </c>
      <c r="D842" t="s">
        <v>124</v>
      </c>
      <c r="E842">
        <v>5</v>
      </c>
      <c r="F842">
        <v>1005</v>
      </c>
      <c r="G842" t="s">
        <v>114</v>
      </c>
      <c r="J842" t="s">
        <v>125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"14:46:16.961"</f>
        <v>14:46:16.961</v>
      </c>
      <c r="T842" t="str">
        <f>"14:46:16.461"</f>
        <v>14:46:16.461</v>
      </c>
      <c r="U842" t="str">
        <f t="shared" si="39"/>
        <v>A0F928</v>
      </c>
      <c r="V842">
        <v>0</v>
      </c>
      <c r="W842">
        <v>0</v>
      </c>
      <c r="X842">
        <v>2</v>
      </c>
      <c r="Z842">
        <v>0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1</v>
      </c>
      <c r="AI842" t="s">
        <v>374</v>
      </c>
      <c r="AJ842">
        <v>35.810429999999997</v>
      </c>
      <c r="AK842" t="s">
        <v>526</v>
      </c>
      <c r="AL842">
        <v>-83.954880000000003</v>
      </c>
      <c r="AM842">
        <v>25</v>
      </c>
      <c r="AN842">
        <v>1550</v>
      </c>
      <c r="AO842" t="s">
        <v>118</v>
      </c>
      <c r="AP842">
        <v>-4</v>
      </c>
      <c r="AQ842">
        <v>130</v>
      </c>
      <c r="AR842">
        <v>128</v>
      </c>
      <c r="AZ842">
        <v>300</v>
      </c>
      <c r="BA842">
        <v>1</v>
      </c>
      <c r="BB842" t="str">
        <f t="shared" si="38"/>
        <v xml:space="preserve">N162AM  </v>
      </c>
      <c r="BC842">
        <v>1</v>
      </c>
      <c r="BE842">
        <v>0</v>
      </c>
      <c r="BF842">
        <v>0</v>
      </c>
      <c r="BG842">
        <v>0</v>
      </c>
      <c r="BH842">
        <v>1825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>"14:46:16.965"</f>
        <v>14:46:16.965</v>
      </c>
      <c r="CJ842">
        <v>3</v>
      </c>
      <c r="CK842">
        <v>2</v>
      </c>
      <c r="CL842">
        <v>0</v>
      </c>
      <c r="CM842">
        <v>2</v>
      </c>
      <c r="CN842">
        <v>0</v>
      </c>
      <c r="CO842">
        <v>6</v>
      </c>
      <c r="CP842" t="s">
        <v>119</v>
      </c>
      <c r="CQ842">
        <v>232</v>
      </c>
      <c r="CR842">
        <v>1</v>
      </c>
      <c r="CW842">
        <v>15161429</v>
      </c>
      <c r="CY842">
        <v>1</v>
      </c>
      <c r="CZ842">
        <v>0</v>
      </c>
      <c r="DA842">
        <v>1</v>
      </c>
      <c r="DB842">
        <v>0</v>
      </c>
      <c r="DC842">
        <v>0</v>
      </c>
      <c r="DD842">
        <v>1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"12/16/2021 14:46:17.194"</f>
        <v>12/16/2021 14:46:17.194</v>
      </c>
      <c r="C843" t="str">
        <f t="shared" si="37"/>
        <v>FFDFD3C0</v>
      </c>
      <c r="D843" t="s">
        <v>113</v>
      </c>
      <c r="E843">
        <v>8</v>
      </c>
      <c r="H843">
        <v>176</v>
      </c>
      <c r="I843" t="s">
        <v>114</v>
      </c>
      <c r="J843" t="s">
        <v>115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"14:46:16.961"</f>
        <v>14:46:16.961</v>
      </c>
      <c r="T843" t="str">
        <f>"14:46:16.461"</f>
        <v>14:46:16.461</v>
      </c>
      <c r="U843" t="str">
        <f t="shared" si="39"/>
        <v>A0F928</v>
      </c>
      <c r="V843">
        <v>0</v>
      </c>
      <c r="W843">
        <v>0</v>
      </c>
      <c r="X843">
        <v>2</v>
      </c>
      <c r="Z843">
        <v>0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1</v>
      </c>
      <c r="AI843" t="s">
        <v>374</v>
      </c>
      <c r="AJ843">
        <v>35.810429999999997</v>
      </c>
      <c r="AK843" t="s">
        <v>526</v>
      </c>
      <c r="AL843">
        <v>-83.954880000000003</v>
      </c>
      <c r="AM843">
        <v>25</v>
      </c>
      <c r="AN843">
        <v>1550</v>
      </c>
      <c r="AO843" t="s">
        <v>118</v>
      </c>
      <c r="AP843">
        <v>-4</v>
      </c>
      <c r="AQ843">
        <v>130</v>
      </c>
      <c r="AR843">
        <v>128</v>
      </c>
      <c r="AZ843">
        <v>300</v>
      </c>
      <c r="BA843">
        <v>1</v>
      </c>
      <c r="BB843" t="str">
        <f t="shared" si="38"/>
        <v xml:space="preserve">N162AM  </v>
      </c>
      <c r="BC843">
        <v>1</v>
      </c>
      <c r="BE843">
        <v>0</v>
      </c>
      <c r="BF843">
        <v>0</v>
      </c>
      <c r="BG843">
        <v>0</v>
      </c>
      <c r="BH843">
        <v>1825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>"14:46:16.965"</f>
        <v>14:46:16.965</v>
      </c>
      <c r="CJ843">
        <v>3</v>
      </c>
      <c r="CK843">
        <v>2</v>
      </c>
      <c r="CL843">
        <v>0</v>
      </c>
      <c r="CM843">
        <v>2</v>
      </c>
      <c r="CN843">
        <v>0</v>
      </c>
      <c r="CO843">
        <v>6</v>
      </c>
      <c r="CP843" t="s">
        <v>119</v>
      </c>
      <c r="CQ843">
        <v>232</v>
      </c>
      <c r="CR843">
        <v>1</v>
      </c>
      <c r="CW843">
        <v>15161429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1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"12/16/2021 14:46:17.210"</f>
        <v>12/16/2021 14:46:17.210</v>
      </c>
      <c r="C844" t="str">
        <f t="shared" ref="C844:C907" si="40">"FFDFD3C0"</f>
        <v>FFDFD3C0</v>
      </c>
      <c r="D844" t="s">
        <v>124</v>
      </c>
      <c r="E844">
        <v>10</v>
      </c>
      <c r="F844">
        <v>1010</v>
      </c>
      <c r="G844" t="s">
        <v>130</v>
      </c>
      <c r="J844" t="s">
        <v>125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"14:46:16.961"</f>
        <v>14:46:16.961</v>
      </c>
      <c r="T844" t="str">
        <f>"14:46:16.461"</f>
        <v>14:46:16.461</v>
      </c>
      <c r="U844" t="str">
        <f t="shared" si="39"/>
        <v>A0F928</v>
      </c>
      <c r="V844">
        <v>0</v>
      </c>
      <c r="W844">
        <v>0</v>
      </c>
      <c r="X844">
        <v>2</v>
      </c>
      <c r="Z844">
        <v>0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1</v>
      </c>
      <c r="AI844" t="s">
        <v>374</v>
      </c>
      <c r="AJ844">
        <v>35.810429999999997</v>
      </c>
      <c r="AK844" t="s">
        <v>526</v>
      </c>
      <c r="AL844">
        <v>-83.954880000000003</v>
      </c>
      <c r="AM844">
        <v>25</v>
      </c>
      <c r="AN844">
        <v>1550</v>
      </c>
      <c r="AO844" t="s">
        <v>118</v>
      </c>
      <c r="AP844">
        <v>-4</v>
      </c>
      <c r="AQ844">
        <v>130</v>
      </c>
      <c r="AR844">
        <v>128</v>
      </c>
      <c r="AZ844">
        <v>300</v>
      </c>
      <c r="BA844">
        <v>1</v>
      </c>
      <c r="BB844" t="str">
        <f t="shared" ref="BB844:BB907" si="41">"N162AM  "</f>
        <v xml:space="preserve">N162AM  </v>
      </c>
      <c r="BC844">
        <v>1</v>
      </c>
      <c r="BE844">
        <v>0</v>
      </c>
      <c r="BF844">
        <v>0</v>
      </c>
      <c r="BG844">
        <v>0</v>
      </c>
      <c r="BH844">
        <v>1825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>"14:46:16.965"</f>
        <v>14:46:16.965</v>
      </c>
      <c r="CJ844">
        <v>3</v>
      </c>
      <c r="CK844">
        <v>2</v>
      </c>
      <c r="CL844">
        <v>0</v>
      </c>
      <c r="CM844">
        <v>2</v>
      </c>
      <c r="CN844">
        <v>0</v>
      </c>
      <c r="CO844">
        <v>6</v>
      </c>
      <c r="CP844" t="s">
        <v>119</v>
      </c>
      <c r="CQ844">
        <v>232</v>
      </c>
      <c r="CR844">
        <v>1</v>
      </c>
      <c r="CW844">
        <v>15161429</v>
      </c>
      <c r="CY844">
        <v>1</v>
      </c>
      <c r="CZ844">
        <v>0</v>
      </c>
      <c r="DA844">
        <v>1</v>
      </c>
      <c r="DB844">
        <v>0</v>
      </c>
      <c r="DC844">
        <v>0</v>
      </c>
      <c r="DD844">
        <v>1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"12/16/2021 14:46:18.163"</f>
        <v>12/16/2021 14:46:18.163</v>
      </c>
      <c r="C845" t="str">
        <f t="shared" si="40"/>
        <v>FFDFD3C0</v>
      </c>
      <c r="D845" t="s">
        <v>133</v>
      </c>
      <c r="E845">
        <v>44</v>
      </c>
      <c r="H845">
        <v>131</v>
      </c>
      <c r="I845" t="s">
        <v>134</v>
      </c>
      <c r="J845" t="s">
        <v>135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"14:46:17.930"</f>
        <v>14:46:17.930</v>
      </c>
      <c r="T845" t="str">
        <f>"14:46:17.430"</f>
        <v>14:46:17.430</v>
      </c>
      <c r="U845" t="str">
        <f t="shared" si="39"/>
        <v>A0F928</v>
      </c>
      <c r="V845">
        <v>0</v>
      </c>
      <c r="W845">
        <v>0</v>
      </c>
      <c r="X845">
        <v>2</v>
      </c>
      <c r="Z845">
        <v>0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1</v>
      </c>
      <c r="AI845" t="s">
        <v>527</v>
      </c>
      <c r="AJ845">
        <v>35.810966000000001</v>
      </c>
      <c r="AK845" t="s">
        <v>525</v>
      </c>
      <c r="AL845">
        <v>-83.954836999999998</v>
      </c>
      <c r="AM845">
        <v>25</v>
      </c>
      <c r="AN845">
        <v>1550</v>
      </c>
      <c r="AO845" t="s">
        <v>118</v>
      </c>
      <c r="AP845">
        <v>2</v>
      </c>
      <c r="AQ845">
        <v>130</v>
      </c>
      <c r="AR845">
        <v>128</v>
      </c>
      <c r="AZ845">
        <v>300</v>
      </c>
      <c r="BA845">
        <v>1</v>
      </c>
      <c r="BB845" t="str">
        <f t="shared" si="41"/>
        <v xml:space="preserve">N162AM  </v>
      </c>
      <c r="BC845">
        <v>1</v>
      </c>
      <c r="BE845">
        <v>0</v>
      </c>
      <c r="BF845">
        <v>0</v>
      </c>
      <c r="BG845">
        <v>0</v>
      </c>
      <c r="BH845">
        <v>1800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>"14:46:17.936"</f>
        <v>14:46:17.936</v>
      </c>
      <c r="CJ845">
        <v>3</v>
      </c>
      <c r="CK845">
        <v>2</v>
      </c>
      <c r="CL845">
        <v>0</v>
      </c>
      <c r="CM845">
        <v>2</v>
      </c>
      <c r="CN845">
        <v>0</v>
      </c>
      <c r="CO845">
        <v>6</v>
      </c>
      <c r="CP845" t="s">
        <v>119</v>
      </c>
      <c r="CQ845">
        <v>232</v>
      </c>
      <c r="CR845">
        <v>1</v>
      </c>
      <c r="CW845">
        <v>15162893</v>
      </c>
      <c r="CY845">
        <v>1</v>
      </c>
      <c r="CZ845">
        <v>0</v>
      </c>
      <c r="DA845">
        <v>0</v>
      </c>
      <c r="DB845">
        <v>0</v>
      </c>
      <c r="DC845">
        <v>0</v>
      </c>
      <c r="DD845">
        <v>1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"12/16/2021 14:46:18.163"</f>
        <v>12/16/2021 14:46:18.163</v>
      </c>
      <c r="C846" t="str">
        <f t="shared" si="40"/>
        <v>FFDFD3C0</v>
      </c>
      <c r="D846" t="s">
        <v>124</v>
      </c>
      <c r="E846">
        <v>5</v>
      </c>
      <c r="F846">
        <v>1005</v>
      </c>
      <c r="G846" t="s">
        <v>114</v>
      </c>
      <c r="J846" t="s">
        <v>125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"14:46:17.930"</f>
        <v>14:46:17.930</v>
      </c>
      <c r="T846" t="str">
        <f>"14:46:17.430"</f>
        <v>14:46:17.430</v>
      </c>
      <c r="U846" t="str">
        <f t="shared" si="39"/>
        <v>A0F928</v>
      </c>
      <c r="V846">
        <v>0</v>
      </c>
      <c r="W846">
        <v>0</v>
      </c>
      <c r="X846">
        <v>2</v>
      </c>
      <c r="Z846">
        <v>0</v>
      </c>
      <c r="AA846">
        <v>9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2</v>
      </c>
      <c r="AH846">
        <v>1</v>
      </c>
      <c r="AI846" t="s">
        <v>527</v>
      </c>
      <c r="AJ846">
        <v>35.810966000000001</v>
      </c>
      <c r="AK846" t="s">
        <v>525</v>
      </c>
      <c r="AL846">
        <v>-83.954836999999998</v>
      </c>
      <c r="AM846">
        <v>25</v>
      </c>
      <c r="AN846">
        <v>1550</v>
      </c>
      <c r="AO846" t="s">
        <v>118</v>
      </c>
      <c r="AP846">
        <v>2</v>
      </c>
      <c r="AQ846">
        <v>130</v>
      </c>
      <c r="AR846">
        <v>128</v>
      </c>
      <c r="AZ846">
        <v>300</v>
      </c>
      <c r="BA846">
        <v>1</v>
      </c>
      <c r="BB846" t="str">
        <f t="shared" si="41"/>
        <v xml:space="preserve">N162AM  </v>
      </c>
      <c r="BC846">
        <v>1</v>
      </c>
      <c r="BE846">
        <v>0</v>
      </c>
      <c r="BF846">
        <v>0</v>
      </c>
      <c r="BG846">
        <v>0</v>
      </c>
      <c r="BH846">
        <v>1800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>"14:46:17.936"</f>
        <v>14:46:17.936</v>
      </c>
      <c r="CJ846">
        <v>3</v>
      </c>
      <c r="CK846">
        <v>2</v>
      </c>
      <c r="CL846">
        <v>0</v>
      </c>
      <c r="CM846">
        <v>2</v>
      </c>
      <c r="CN846">
        <v>0</v>
      </c>
      <c r="CO846">
        <v>6</v>
      </c>
      <c r="CP846" t="s">
        <v>119</v>
      </c>
      <c r="CQ846">
        <v>232</v>
      </c>
      <c r="CR846">
        <v>1</v>
      </c>
      <c r="CW846">
        <v>15162893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1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"12/16/2021 14:46:18.163"</f>
        <v>12/16/2021 14:46:18.163</v>
      </c>
      <c r="C847" t="str">
        <f t="shared" si="40"/>
        <v>FFDFD3C0</v>
      </c>
      <c r="D847" t="s">
        <v>113</v>
      </c>
      <c r="E847">
        <v>8</v>
      </c>
      <c r="H847">
        <v>176</v>
      </c>
      <c r="I847" t="s">
        <v>114</v>
      </c>
      <c r="J847" t="s">
        <v>115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"14:46:17.930"</f>
        <v>14:46:17.930</v>
      </c>
      <c r="T847" t="str">
        <f>"14:46:17.430"</f>
        <v>14:46:17.430</v>
      </c>
      <c r="U847" t="str">
        <f t="shared" si="39"/>
        <v>A0F928</v>
      </c>
      <c r="V847">
        <v>0</v>
      </c>
      <c r="W847">
        <v>0</v>
      </c>
      <c r="X847">
        <v>2</v>
      </c>
      <c r="Z847">
        <v>0</v>
      </c>
      <c r="AA847">
        <v>9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1</v>
      </c>
      <c r="AI847" t="s">
        <v>527</v>
      </c>
      <c r="AJ847">
        <v>35.810966000000001</v>
      </c>
      <c r="AK847" t="s">
        <v>525</v>
      </c>
      <c r="AL847">
        <v>-83.954836999999998</v>
      </c>
      <c r="AM847">
        <v>25</v>
      </c>
      <c r="AN847">
        <v>1550</v>
      </c>
      <c r="AO847" t="s">
        <v>118</v>
      </c>
      <c r="AP847">
        <v>2</v>
      </c>
      <c r="AQ847">
        <v>130</v>
      </c>
      <c r="AR847">
        <v>128</v>
      </c>
      <c r="AZ847">
        <v>300</v>
      </c>
      <c r="BA847">
        <v>1</v>
      </c>
      <c r="BB847" t="str">
        <f t="shared" si="41"/>
        <v xml:space="preserve">N162AM  </v>
      </c>
      <c r="BC847">
        <v>1</v>
      </c>
      <c r="BE847">
        <v>0</v>
      </c>
      <c r="BF847">
        <v>0</v>
      </c>
      <c r="BG847">
        <v>0</v>
      </c>
      <c r="BH847">
        <v>1800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>"14:46:17.936"</f>
        <v>14:46:17.936</v>
      </c>
      <c r="CJ847">
        <v>3</v>
      </c>
      <c r="CK847">
        <v>2</v>
      </c>
      <c r="CL847">
        <v>0</v>
      </c>
      <c r="CM847">
        <v>2</v>
      </c>
      <c r="CN847">
        <v>0</v>
      </c>
      <c r="CO847">
        <v>6</v>
      </c>
      <c r="CP847" t="s">
        <v>119</v>
      </c>
      <c r="CQ847">
        <v>232</v>
      </c>
      <c r="CR847">
        <v>1</v>
      </c>
      <c r="CW847">
        <v>15162893</v>
      </c>
      <c r="CY847">
        <v>1</v>
      </c>
      <c r="CZ847">
        <v>0</v>
      </c>
      <c r="DA847">
        <v>1</v>
      </c>
      <c r="DB847">
        <v>0</v>
      </c>
      <c r="DC847">
        <v>0</v>
      </c>
      <c r="DD847">
        <v>1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"12/16/2021 14:46:18.163"</f>
        <v>12/16/2021 14:46:18.163</v>
      </c>
      <c r="C848" t="str">
        <f t="shared" si="40"/>
        <v>FFDFD3C0</v>
      </c>
      <c r="D848" t="s">
        <v>124</v>
      </c>
      <c r="E848">
        <v>10</v>
      </c>
      <c r="F848">
        <v>1010</v>
      </c>
      <c r="G848" t="s">
        <v>130</v>
      </c>
      <c r="J848" t="s">
        <v>125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"14:46:17.930"</f>
        <v>14:46:17.930</v>
      </c>
      <c r="T848" t="str">
        <f>"14:46:17.430"</f>
        <v>14:46:17.430</v>
      </c>
      <c r="U848" t="str">
        <f t="shared" si="39"/>
        <v>A0F928</v>
      </c>
      <c r="V848">
        <v>0</v>
      </c>
      <c r="W848">
        <v>0</v>
      </c>
      <c r="X848">
        <v>2</v>
      </c>
      <c r="Z848">
        <v>0</v>
      </c>
      <c r="AA848">
        <v>9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1</v>
      </c>
      <c r="AI848" t="s">
        <v>527</v>
      </c>
      <c r="AJ848">
        <v>35.810966000000001</v>
      </c>
      <c r="AK848" t="s">
        <v>525</v>
      </c>
      <c r="AL848">
        <v>-83.954836999999998</v>
      </c>
      <c r="AM848">
        <v>25</v>
      </c>
      <c r="AN848">
        <v>1550</v>
      </c>
      <c r="AO848" t="s">
        <v>118</v>
      </c>
      <c r="AP848">
        <v>2</v>
      </c>
      <c r="AQ848">
        <v>130</v>
      </c>
      <c r="AR848">
        <v>128</v>
      </c>
      <c r="AZ848">
        <v>300</v>
      </c>
      <c r="BA848">
        <v>1</v>
      </c>
      <c r="BB848" t="str">
        <f t="shared" si="41"/>
        <v xml:space="preserve">N162AM  </v>
      </c>
      <c r="BC848">
        <v>1</v>
      </c>
      <c r="BE848">
        <v>0</v>
      </c>
      <c r="BF848">
        <v>0</v>
      </c>
      <c r="BG848">
        <v>0</v>
      </c>
      <c r="BH848">
        <v>1800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>"14:46:17.936"</f>
        <v>14:46:17.936</v>
      </c>
      <c r="CJ848">
        <v>3</v>
      </c>
      <c r="CK848">
        <v>2</v>
      </c>
      <c r="CL848">
        <v>0</v>
      </c>
      <c r="CM848">
        <v>2</v>
      </c>
      <c r="CN848">
        <v>0</v>
      </c>
      <c r="CO848">
        <v>6</v>
      </c>
      <c r="CP848" t="s">
        <v>119</v>
      </c>
      <c r="CQ848">
        <v>232</v>
      </c>
      <c r="CR848">
        <v>1</v>
      </c>
      <c r="CW848">
        <v>15162893</v>
      </c>
      <c r="CY848">
        <v>1</v>
      </c>
      <c r="CZ848">
        <v>0</v>
      </c>
      <c r="DA848">
        <v>1</v>
      </c>
      <c r="DB848">
        <v>0</v>
      </c>
      <c r="DC848">
        <v>0</v>
      </c>
      <c r="DD848">
        <v>1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"12/16/2021 14:46:19.100"</f>
        <v>12/16/2021 14:46:19.100</v>
      </c>
      <c r="C849" t="str">
        <f t="shared" si="40"/>
        <v>FFDFD3C0</v>
      </c>
      <c r="D849" t="s">
        <v>124</v>
      </c>
      <c r="E849">
        <v>5</v>
      </c>
      <c r="F849">
        <v>1005</v>
      </c>
      <c r="G849" t="s">
        <v>114</v>
      </c>
      <c r="J849" t="s">
        <v>125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"14:46:18.875"</f>
        <v>14:46:18.875</v>
      </c>
      <c r="T849" t="str">
        <f>"14:46:18.475"</f>
        <v>14:46:18.475</v>
      </c>
      <c r="U849" t="str">
        <f t="shared" si="39"/>
        <v>A0F928</v>
      </c>
      <c r="V849">
        <v>0</v>
      </c>
      <c r="W849">
        <v>0</v>
      </c>
      <c r="X849">
        <v>2</v>
      </c>
      <c r="Z849">
        <v>0</v>
      </c>
      <c r="AA849">
        <v>9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1</v>
      </c>
      <c r="AI849" t="s">
        <v>528</v>
      </c>
      <c r="AJ849">
        <v>35.811566999999997</v>
      </c>
      <c r="AK849" t="s">
        <v>523</v>
      </c>
      <c r="AL849">
        <v>-83.954773000000003</v>
      </c>
      <c r="AM849">
        <v>25</v>
      </c>
      <c r="AN849">
        <v>1550</v>
      </c>
      <c r="AO849" t="s">
        <v>118</v>
      </c>
      <c r="AP849">
        <v>10</v>
      </c>
      <c r="AQ849">
        <v>129</v>
      </c>
      <c r="AR849">
        <v>192</v>
      </c>
      <c r="AZ849">
        <v>300</v>
      </c>
      <c r="BA849">
        <v>1</v>
      </c>
      <c r="BB849" t="str">
        <f t="shared" si="41"/>
        <v xml:space="preserve">N162AM  </v>
      </c>
      <c r="BC849">
        <v>1</v>
      </c>
      <c r="BE849">
        <v>0</v>
      </c>
      <c r="BF849">
        <v>0</v>
      </c>
      <c r="BG849">
        <v>0</v>
      </c>
      <c r="BH849">
        <v>1800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>"14:46:18.875"</f>
        <v>14:46:18.875</v>
      </c>
      <c r="CJ849">
        <v>3</v>
      </c>
      <c r="CK849">
        <v>2</v>
      </c>
      <c r="CL849">
        <v>0</v>
      </c>
      <c r="CM849">
        <v>2</v>
      </c>
      <c r="CN849">
        <v>0</v>
      </c>
      <c r="CO849">
        <v>7</v>
      </c>
      <c r="CP849" t="s">
        <v>119</v>
      </c>
      <c r="CQ849">
        <v>232</v>
      </c>
      <c r="CR849">
        <v>1</v>
      </c>
      <c r="CW849">
        <v>15164318</v>
      </c>
      <c r="CY849">
        <v>1</v>
      </c>
      <c r="CZ849">
        <v>0</v>
      </c>
      <c r="DA849">
        <v>0</v>
      </c>
      <c r="DB849">
        <v>0</v>
      </c>
      <c r="DC849">
        <v>0</v>
      </c>
      <c r="DD849">
        <v>1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"12/16/2021 14:46:19.100"</f>
        <v>12/16/2021 14:46:19.100</v>
      </c>
      <c r="C850" t="str">
        <f t="shared" si="40"/>
        <v>FFDFD3C0</v>
      </c>
      <c r="D850" t="s">
        <v>133</v>
      </c>
      <c r="E850">
        <v>44</v>
      </c>
      <c r="H850">
        <v>131</v>
      </c>
      <c r="I850" t="s">
        <v>134</v>
      </c>
      <c r="J850" t="s">
        <v>135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"14:46:18.875"</f>
        <v>14:46:18.875</v>
      </c>
      <c r="T850" t="str">
        <f>"14:46:18.475"</f>
        <v>14:46:18.475</v>
      </c>
      <c r="U850" t="str">
        <f t="shared" si="39"/>
        <v>A0F928</v>
      </c>
      <c r="V850">
        <v>0</v>
      </c>
      <c r="W850">
        <v>0</v>
      </c>
      <c r="X850">
        <v>2</v>
      </c>
      <c r="Z850">
        <v>0</v>
      </c>
      <c r="AA850">
        <v>9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1</v>
      </c>
      <c r="AI850" t="s">
        <v>528</v>
      </c>
      <c r="AJ850">
        <v>35.811566999999997</v>
      </c>
      <c r="AK850" t="s">
        <v>523</v>
      </c>
      <c r="AL850">
        <v>-83.954773000000003</v>
      </c>
      <c r="AM850">
        <v>25</v>
      </c>
      <c r="AN850">
        <v>1550</v>
      </c>
      <c r="AO850" t="s">
        <v>118</v>
      </c>
      <c r="AP850">
        <v>10</v>
      </c>
      <c r="AQ850">
        <v>129</v>
      </c>
      <c r="AR850">
        <v>192</v>
      </c>
      <c r="AZ850">
        <v>300</v>
      </c>
      <c r="BA850">
        <v>1</v>
      </c>
      <c r="BB850" t="str">
        <f t="shared" si="41"/>
        <v xml:space="preserve">N162AM  </v>
      </c>
      <c r="BC850">
        <v>1</v>
      </c>
      <c r="BE850">
        <v>0</v>
      </c>
      <c r="BF850">
        <v>0</v>
      </c>
      <c r="BG850">
        <v>0</v>
      </c>
      <c r="BH850">
        <v>1800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>"14:46:18.875"</f>
        <v>14:46:18.875</v>
      </c>
      <c r="CJ850">
        <v>3</v>
      </c>
      <c r="CK850">
        <v>2</v>
      </c>
      <c r="CL850">
        <v>0</v>
      </c>
      <c r="CM850">
        <v>2</v>
      </c>
      <c r="CN850">
        <v>0</v>
      </c>
      <c r="CO850">
        <v>7</v>
      </c>
      <c r="CP850" t="s">
        <v>119</v>
      </c>
      <c r="CQ850">
        <v>232</v>
      </c>
      <c r="CR850">
        <v>1</v>
      </c>
      <c r="CW850">
        <v>15164318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1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"12/16/2021 14:46:19.100"</f>
        <v>12/16/2021 14:46:19.100</v>
      </c>
      <c r="C851" t="str">
        <f t="shared" si="40"/>
        <v>FFDFD3C0</v>
      </c>
      <c r="D851" t="s">
        <v>113</v>
      </c>
      <c r="E851">
        <v>8</v>
      </c>
      <c r="H851">
        <v>176</v>
      </c>
      <c r="I851" t="s">
        <v>114</v>
      </c>
      <c r="J851" t="s">
        <v>115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"14:46:18.875"</f>
        <v>14:46:18.875</v>
      </c>
      <c r="T851" t="str">
        <f>"14:46:18.475"</f>
        <v>14:46:18.475</v>
      </c>
      <c r="U851" t="str">
        <f t="shared" si="39"/>
        <v>A0F928</v>
      </c>
      <c r="V851">
        <v>0</v>
      </c>
      <c r="W851">
        <v>0</v>
      </c>
      <c r="X851">
        <v>2</v>
      </c>
      <c r="Z851">
        <v>0</v>
      </c>
      <c r="AA851">
        <v>9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1</v>
      </c>
      <c r="AI851" t="s">
        <v>528</v>
      </c>
      <c r="AJ851">
        <v>35.811566999999997</v>
      </c>
      <c r="AK851" t="s">
        <v>523</v>
      </c>
      <c r="AL851">
        <v>-83.954773000000003</v>
      </c>
      <c r="AM851">
        <v>25</v>
      </c>
      <c r="AN851">
        <v>1550</v>
      </c>
      <c r="AO851" t="s">
        <v>118</v>
      </c>
      <c r="AP851">
        <v>10</v>
      </c>
      <c r="AQ851">
        <v>129</v>
      </c>
      <c r="AR851">
        <v>192</v>
      </c>
      <c r="AZ851">
        <v>300</v>
      </c>
      <c r="BA851">
        <v>1</v>
      </c>
      <c r="BB851" t="str">
        <f t="shared" si="41"/>
        <v xml:space="preserve">N162AM  </v>
      </c>
      <c r="BC851">
        <v>1</v>
      </c>
      <c r="BE851">
        <v>0</v>
      </c>
      <c r="BF851">
        <v>0</v>
      </c>
      <c r="BG851">
        <v>0</v>
      </c>
      <c r="BH851">
        <v>1800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>"14:46:18.875"</f>
        <v>14:46:18.875</v>
      </c>
      <c r="CJ851">
        <v>3</v>
      </c>
      <c r="CK851">
        <v>2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232</v>
      </c>
      <c r="CR851">
        <v>1</v>
      </c>
      <c r="CW851">
        <v>15164318</v>
      </c>
      <c r="CY851">
        <v>1</v>
      </c>
      <c r="CZ851">
        <v>0</v>
      </c>
      <c r="DA851">
        <v>1</v>
      </c>
      <c r="DB851">
        <v>0</v>
      </c>
      <c r="DC851">
        <v>0</v>
      </c>
      <c r="DD851">
        <v>1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"12/16/2021 14:46:19.116"</f>
        <v>12/16/2021 14:46:19.116</v>
      </c>
      <c r="C852" t="str">
        <f t="shared" si="40"/>
        <v>FFDFD3C0</v>
      </c>
      <c r="D852" t="s">
        <v>124</v>
      </c>
      <c r="E852">
        <v>10</v>
      </c>
      <c r="F852">
        <v>1010</v>
      </c>
      <c r="G852" t="s">
        <v>130</v>
      </c>
      <c r="J852" t="s">
        <v>125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"14:46:18.875"</f>
        <v>14:46:18.875</v>
      </c>
      <c r="T852" t="str">
        <f>"14:46:18.475"</f>
        <v>14:46:18.475</v>
      </c>
      <c r="U852" t="str">
        <f t="shared" si="39"/>
        <v>A0F928</v>
      </c>
      <c r="V852">
        <v>0</v>
      </c>
      <c r="W852">
        <v>0</v>
      </c>
      <c r="X852">
        <v>2</v>
      </c>
      <c r="Z852">
        <v>0</v>
      </c>
      <c r="AA852">
        <v>9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2</v>
      </c>
      <c r="AH852">
        <v>1</v>
      </c>
      <c r="AI852" t="s">
        <v>528</v>
      </c>
      <c r="AJ852">
        <v>35.811566999999997</v>
      </c>
      <c r="AK852" t="s">
        <v>523</v>
      </c>
      <c r="AL852">
        <v>-83.954773000000003</v>
      </c>
      <c r="AM852">
        <v>25</v>
      </c>
      <c r="AN852">
        <v>1550</v>
      </c>
      <c r="AO852" t="s">
        <v>118</v>
      </c>
      <c r="AP852">
        <v>10</v>
      </c>
      <c r="AQ852">
        <v>129</v>
      </c>
      <c r="AR852">
        <v>192</v>
      </c>
      <c r="AZ852">
        <v>300</v>
      </c>
      <c r="BA852">
        <v>1</v>
      </c>
      <c r="BB852" t="str">
        <f t="shared" si="41"/>
        <v xml:space="preserve">N162AM  </v>
      </c>
      <c r="BC852">
        <v>1</v>
      </c>
      <c r="BE852">
        <v>0</v>
      </c>
      <c r="BF852">
        <v>0</v>
      </c>
      <c r="BG852">
        <v>0</v>
      </c>
      <c r="BH852">
        <v>1800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>"14:46:18.875"</f>
        <v>14:46:18.875</v>
      </c>
      <c r="CJ852">
        <v>3</v>
      </c>
      <c r="CK852">
        <v>2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232</v>
      </c>
      <c r="CR852">
        <v>1</v>
      </c>
      <c r="CW852">
        <v>15164318</v>
      </c>
      <c r="CY852">
        <v>1</v>
      </c>
      <c r="CZ852">
        <v>0</v>
      </c>
      <c r="DA852">
        <v>1</v>
      </c>
      <c r="DB852">
        <v>0</v>
      </c>
      <c r="DC852">
        <v>0</v>
      </c>
      <c r="DD852">
        <v>1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"12/16/2021 14:46:20.163"</f>
        <v>12/16/2021 14:46:20.163</v>
      </c>
      <c r="C853" t="str">
        <f t="shared" si="40"/>
        <v>FFDFD3C0</v>
      </c>
      <c r="D853" t="s">
        <v>124</v>
      </c>
      <c r="E853">
        <v>10</v>
      </c>
      <c r="F853">
        <v>1010</v>
      </c>
      <c r="G853" t="s">
        <v>130</v>
      </c>
      <c r="J853" t="s">
        <v>125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"14:46:19.961"</f>
        <v>14:46:19.961</v>
      </c>
      <c r="T853" t="str">
        <f>"14:46:19.461"</f>
        <v>14:46:19.461</v>
      </c>
      <c r="U853" t="str">
        <f t="shared" si="39"/>
        <v>A0F928</v>
      </c>
      <c r="V853">
        <v>0</v>
      </c>
      <c r="W853">
        <v>0</v>
      </c>
      <c r="X853">
        <v>2</v>
      </c>
      <c r="Z853">
        <v>0</v>
      </c>
      <c r="AA853">
        <v>9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1</v>
      </c>
      <c r="AI853" t="s">
        <v>529</v>
      </c>
      <c r="AJ853">
        <v>35.812232000000002</v>
      </c>
      <c r="AK853" t="s">
        <v>530</v>
      </c>
      <c r="AL853">
        <v>-83.954600999999997</v>
      </c>
      <c r="AM853">
        <v>25</v>
      </c>
      <c r="AN853">
        <v>1550</v>
      </c>
      <c r="AO853" t="s">
        <v>118</v>
      </c>
      <c r="AP853">
        <v>19</v>
      </c>
      <c r="AQ853">
        <v>128</v>
      </c>
      <c r="AR853">
        <v>256</v>
      </c>
      <c r="AZ853">
        <v>300</v>
      </c>
      <c r="BA853">
        <v>1</v>
      </c>
      <c r="BB853" t="str">
        <f t="shared" si="41"/>
        <v xml:space="preserve">N162AM  </v>
      </c>
      <c r="BC853">
        <v>1</v>
      </c>
      <c r="BE853">
        <v>0</v>
      </c>
      <c r="BF853">
        <v>0</v>
      </c>
      <c r="BG853">
        <v>0</v>
      </c>
      <c r="BH853">
        <v>1800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>"14:46:19.968"</f>
        <v>14:46:19.968</v>
      </c>
      <c r="CJ853">
        <v>3</v>
      </c>
      <c r="CK853">
        <v>2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232</v>
      </c>
      <c r="CR853">
        <v>1</v>
      </c>
      <c r="CW853">
        <v>15166105</v>
      </c>
      <c r="CY853">
        <v>1</v>
      </c>
      <c r="CZ853">
        <v>0</v>
      </c>
      <c r="DA853">
        <v>0</v>
      </c>
      <c r="DB853">
        <v>0</v>
      </c>
      <c r="DC853">
        <v>0</v>
      </c>
      <c r="DD853">
        <v>1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"12/16/2021 14:46:20.178"</f>
        <v>12/16/2021 14:46:20.178</v>
      </c>
      <c r="C854" t="str">
        <f t="shared" si="40"/>
        <v>FFDFD3C0</v>
      </c>
      <c r="D854" t="s">
        <v>133</v>
      </c>
      <c r="E854">
        <v>44</v>
      </c>
      <c r="H854">
        <v>131</v>
      </c>
      <c r="I854" t="s">
        <v>134</v>
      </c>
      <c r="J854" t="s">
        <v>135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"14:46:19.961"</f>
        <v>14:46:19.961</v>
      </c>
      <c r="T854" t="str">
        <f>"14:46:19.461"</f>
        <v>14:46:19.461</v>
      </c>
      <c r="U854" t="str">
        <f t="shared" si="39"/>
        <v>A0F928</v>
      </c>
      <c r="V854">
        <v>0</v>
      </c>
      <c r="W854">
        <v>0</v>
      </c>
      <c r="X854">
        <v>2</v>
      </c>
      <c r="Z854">
        <v>0</v>
      </c>
      <c r="AA854">
        <v>9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1</v>
      </c>
      <c r="AI854" t="s">
        <v>529</v>
      </c>
      <c r="AJ854">
        <v>35.812232000000002</v>
      </c>
      <c r="AK854" t="s">
        <v>530</v>
      </c>
      <c r="AL854">
        <v>-83.954600999999997</v>
      </c>
      <c r="AM854">
        <v>25</v>
      </c>
      <c r="AN854">
        <v>1550</v>
      </c>
      <c r="AO854" t="s">
        <v>118</v>
      </c>
      <c r="AP854">
        <v>19</v>
      </c>
      <c r="AQ854">
        <v>128</v>
      </c>
      <c r="AR854">
        <v>256</v>
      </c>
      <c r="AZ854">
        <v>300</v>
      </c>
      <c r="BA854">
        <v>1</v>
      </c>
      <c r="BB854" t="str">
        <f t="shared" si="41"/>
        <v xml:space="preserve">N162AM  </v>
      </c>
      <c r="BC854">
        <v>1</v>
      </c>
      <c r="BE854">
        <v>0</v>
      </c>
      <c r="BF854">
        <v>0</v>
      </c>
      <c r="BG854">
        <v>0</v>
      </c>
      <c r="BH854">
        <v>1800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>"14:46:19.968"</f>
        <v>14:46:19.968</v>
      </c>
      <c r="CJ854">
        <v>3</v>
      </c>
      <c r="CK854">
        <v>2</v>
      </c>
      <c r="CL854">
        <v>0</v>
      </c>
      <c r="CM854">
        <v>2</v>
      </c>
      <c r="CN854">
        <v>0</v>
      </c>
      <c r="CO854">
        <v>7</v>
      </c>
      <c r="CP854" t="s">
        <v>119</v>
      </c>
      <c r="CQ854">
        <v>232</v>
      </c>
      <c r="CR854">
        <v>1</v>
      </c>
      <c r="CW854">
        <v>15166105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1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"12/16/2021 14:46:20.178"</f>
        <v>12/16/2021 14:46:20.178</v>
      </c>
      <c r="C855" t="str">
        <f t="shared" si="40"/>
        <v>FFDFD3C0</v>
      </c>
      <c r="D855" t="s">
        <v>113</v>
      </c>
      <c r="E855">
        <v>8</v>
      </c>
      <c r="H855">
        <v>176</v>
      </c>
      <c r="I855" t="s">
        <v>114</v>
      </c>
      <c r="J855" t="s">
        <v>115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"14:46:19.961"</f>
        <v>14:46:19.961</v>
      </c>
      <c r="T855" t="str">
        <f>"14:46:19.461"</f>
        <v>14:46:19.461</v>
      </c>
      <c r="U855" t="str">
        <f t="shared" si="39"/>
        <v>A0F928</v>
      </c>
      <c r="V855">
        <v>0</v>
      </c>
      <c r="W855">
        <v>0</v>
      </c>
      <c r="X855">
        <v>2</v>
      </c>
      <c r="Z855">
        <v>0</v>
      </c>
      <c r="AA855">
        <v>9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1</v>
      </c>
      <c r="AI855" t="s">
        <v>529</v>
      </c>
      <c r="AJ855">
        <v>35.812232000000002</v>
      </c>
      <c r="AK855" t="s">
        <v>530</v>
      </c>
      <c r="AL855">
        <v>-83.954600999999997</v>
      </c>
      <c r="AM855">
        <v>25</v>
      </c>
      <c r="AN855">
        <v>1550</v>
      </c>
      <c r="AO855" t="s">
        <v>118</v>
      </c>
      <c r="AP855">
        <v>19</v>
      </c>
      <c r="AQ855">
        <v>128</v>
      </c>
      <c r="AR855">
        <v>256</v>
      </c>
      <c r="AZ855">
        <v>300</v>
      </c>
      <c r="BA855">
        <v>1</v>
      </c>
      <c r="BB855" t="str">
        <f t="shared" si="41"/>
        <v xml:space="preserve">N162AM  </v>
      </c>
      <c r="BC855">
        <v>1</v>
      </c>
      <c r="BE855">
        <v>0</v>
      </c>
      <c r="BF855">
        <v>0</v>
      </c>
      <c r="BG855">
        <v>0</v>
      </c>
      <c r="BH855">
        <v>1800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>"14:46:19.968"</f>
        <v>14:46:19.968</v>
      </c>
      <c r="CJ855">
        <v>3</v>
      </c>
      <c r="CK855">
        <v>2</v>
      </c>
      <c r="CL855">
        <v>0</v>
      </c>
      <c r="CM855">
        <v>2</v>
      </c>
      <c r="CN855">
        <v>0</v>
      </c>
      <c r="CO855">
        <v>7</v>
      </c>
      <c r="CP855" t="s">
        <v>119</v>
      </c>
      <c r="CQ855">
        <v>232</v>
      </c>
      <c r="CR855">
        <v>1</v>
      </c>
      <c r="CW855">
        <v>15166105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1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"12/16/2021 14:46:20.194"</f>
        <v>12/16/2021 14:46:20.194</v>
      </c>
      <c r="C856" t="str">
        <f t="shared" si="40"/>
        <v>FFDFD3C0</v>
      </c>
      <c r="D856" t="s">
        <v>124</v>
      </c>
      <c r="E856">
        <v>5</v>
      </c>
      <c r="F856">
        <v>1005</v>
      </c>
      <c r="G856" t="s">
        <v>114</v>
      </c>
      <c r="J856" t="s">
        <v>125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"14:46:19.961"</f>
        <v>14:46:19.961</v>
      </c>
      <c r="T856" t="str">
        <f>"14:46:19.461"</f>
        <v>14:46:19.461</v>
      </c>
      <c r="U856" t="str">
        <f t="shared" si="39"/>
        <v>A0F928</v>
      </c>
      <c r="V856">
        <v>0</v>
      </c>
      <c r="W856">
        <v>0</v>
      </c>
      <c r="X856">
        <v>2</v>
      </c>
      <c r="Z856">
        <v>0</v>
      </c>
      <c r="AA856">
        <v>9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1</v>
      </c>
      <c r="AI856" t="s">
        <v>529</v>
      </c>
      <c r="AJ856">
        <v>35.812232000000002</v>
      </c>
      <c r="AK856" t="s">
        <v>530</v>
      </c>
      <c r="AL856">
        <v>-83.954600999999997</v>
      </c>
      <c r="AM856">
        <v>25</v>
      </c>
      <c r="AN856">
        <v>1550</v>
      </c>
      <c r="AO856" t="s">
        <v>118</v>
      </c>
      <c r="AP856">
        <v>19</v>
      </c>
      <c r="AQ856">
        <v>128</v>
      </c>
      <c r="AR856">
        <v>256</v>
      </c>
      <c r="AZ856">
        <v>300</v>
      </c>
      <c r="BA856">
        <v>1</v>
      </c>
      <c r="BB856" t="str">
        <f t="shared" si="41"/>
        <v xml:space="preserve">N162AM  </v>
      </c>
      <c r="BC856">
        <v>1</v>
      </c>
      <c r="BE856">
        <v>0</v>
      </c>
      <c r="BF856">
        <v>0</v>
      </c>
      <c r="BG856">
        <v>0</v>
      </c>
      <c r="BH856">
        <v>1800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>"14:46:19.968"</f>
        <v>14:46:19.968</v>
      </c>
      <c r="CJ856">
        <v>3</v>
      </c>
      <c r="CK856">
        <v>2</v>
      </c>
      <c r="CL856">
        <v>0</v>
      </c>
      <c r="CM856">
        <v>2</v>
      </c>
      <c r="CN856">
        <v>0</v>
      </c>
      <c r="CO856">
        <v>7</v>
      </c>
      <c r="CP856" t="s">
        <v>119</v>
      </c>
      <c r="CQ856">
        <v>232</v>
      </c>
      <c r="CR856">
        <v>1</v>
      </c>
      <c r="CW856">
        <v>15166105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1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"12/16/2021 14:46:21.194"</f>
        <v>12/16/2021 14:46:21.194</v>
      </c>
      <c r="C857" t="str">
        <f t="shared" si="40"/>
        <v>FFDFD3C0</v>
      </c>
      <c r="D857" t="s">
        <v>124</v>
      </c>
      <c r="E857">
        <v>5</v>
      </c>
      <c r="F857">
        <v>1005</v>
      </c>
      <c r="G857" t="s">
        <v>114</v>
      </c>
      <c r="J857" t="s">
        <v>125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"14:46:21.016"</f>
        <v>14:46:21.016</v>
      </c>
      <c r="T857" t="str">
        <f>"14:46:20.616"</f>
        <v>14:46:20.616</v>
      </c>
      <c r="U857" t="str">
        <f t="shared" si="39"/>
        <v>A0F928</v>
      </c>
      <c r="V857">
        <v>0</v>
      </c>
      <c r="W857">
        <v>0</v>
      </c>
      <c r="X857">
        <v>2</v>
      </c>
      <c r="Z857">
        <v>0</v>
      </c>
      <c r="AA857">
        <v>9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1</v>
      </c>
      <c r="AI857" t="s">
        <v>531</v>
      </c>
      <c r="AJ857">
        <v>35.812812000000001</v>
      </c>
      <c r="AK857" t="s">
        <v>532</v>
      </c>
      <c r="AL857">
        <v>-83.954430000000002</v>
      </c>
      <c r="AM857">
        <v>25</v>
      </c>
      <c r="AN857">
        <v>1550</v>
      </c>
      <c r="AO857" t="s">
        <v>118</v>
      </c>
      <c r="AP857">
        <v>28</v>
      </c>
      <c r="AQ857">
        <v>126</v>
      </c>
      <c r="AR857">
        <v>128</v>
      </c>
      <c r="AZ857">
        <v>300</v>
      </c>
      <c r="BA857">
        <v>1</v>
      </c>
      <c r="BB857" t="str">
        <f t="shared" si="41"/>
        <v xml:space="preserve">N162AM  </v>
      </c>
      <c r="BC857">
        <v>1</v>
      </c>
      <c r="BE857">
        <v>0</v>
      </c>
      <c r="BF857">
        <v>0</v>
      </c>
      <c r="BG857">
        <v>0</v>
      </c>
      <c r="BH857">
        <v>1800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>"14:46:21.021"</f>
        <v>14:46:21.021</v>
      </c>
      <c r="CJ857">
        <v>3</v>
      </c>
      <c r="CK857">
        <v>2</v>
      </c>
      <c r="CL857">
        <v>0</v>
      </c>
      <c r="CM857">
        <v>2</v>
      </c>
      <c r="CN857">
        <v>0</v>
      </c>
      <c r="CO857">
        <v>7</v>
      </c>
      <c r="CP857" t="s">
        <v>119</v>
      </c>
      <c r="CQ857">
        <v>232</v>
      </c>
      <c r="CR857">
        <v>1</v>
      </c>
      <c r="CW857">
        <v>15167655</v>
      </c>
      <c r="CY857">
        <v>1</v>
      </c>
      <c r="CZ857">
        <v>0</v>
      </c>
      <c r="DA857">
        <v>0</v>
      </c>
      <c r="DB857">
        <v>0</v>
      </c>
      <c r="DC857">
        <v>0</v>
      </c>
      <c r="DD857">
        <v>1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"12/16/2021 14:46:21.319"</f>
        <v>12/16/2021 14:46:21.319</v>
      </c>
      <c r="C858" t="str">
        <f t="shared" si="40"/>
        <v>FFDFD3C0</v>
      </c>
      <c r="D858" t="s">
        <v>133</v>
      </c>
      <c r="E858">
        <v>44</v>
      </c>
      <c r="H858">
        <v>131</v>
      </c>
      <c r="I858" t="s">
        <v>134</v>
      </c>
      <c r="J858" t="s">
        <v>135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"14:46:21.016"</f>
        <v>14:46:21.016</v>
      </c>
      <c r="T858" t="str">
        <f>"14:46:20.616"</f>
        <v>14:46:20.616</v>
      </c>
      <c r="U858" t="str">
        <f t="shared" si="39"/>
        <v>A0F928</v>
      </c>
      <c r="V858">
        <v>0</v>
      </c>
      <c r="W858">
        <v>0</v>
      </c>
      <c r="X858">
        <v>2</v>
      </c>
      <c r="Z858">
        <v>0</v>
      </c>
      <c r="AA858">
        <v>9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1</v>
      </c>
      <c r="AI858" t="s">
        <v>531</v>
      </c>
      <c r="AJ858">
        <v>35.812812000000001</v>
      </c>
      <c r="AK858" t="s">
        <v>532</v>
      </c>
      <c r="AL858">
        <v>-83.954430000000002</v>
      </c>
      <c r="AM858">
        <v>25</v>
      </c>
      <c r="AN858">
        <v>1550</v>
      </c>
      <c r="AO858" t="s">
        <v>118</v>
      </c>
      <c r="AP858">
        <v>28</v>
      </c>
      <c r="AQ858">
        <v>126</v>
      </c>
      <c r="AR858">
        <v>128</v>
      </c>
      <c r="AZ858">
        <v>300</v>
      </c>
      <c r="BA858">
        <v>1</v>
      </c>
      <c r="BB858" t="str">
        <f t="shared" si="41"/>
        <v xml:space="preserve">N162AM  </v>
      </c>
      <c r="BC858">
        <v>1</v>
      </c>
      <c r="BE858">
        <v>0</v>
      </c>
      <c r="BF858">
        <v>0</v>
      </c>
      <c r="BG858">
        <v>0</v>
      </c>
      <c r="BH858">
        <v>1800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>"14:46:21.021"</f>
        <v>14:46:21.021</v>
      </c>
      <c r="CJ858">
        <v>3</v>
      </c>
      <c r="CK858">
        <v>2</v>
      </c>
      <c r="CL858">
        <v>0</v>
      </c>
      <c r="CM858">
        <v>2</v>
      </c>
      <c r="CN858">
        <v>0</v>
      </c>
      <c r="CO858">
        <v>7</v>
      </c>
      <c r="CP858" t="s">
        <v>119</v>
      </c>
      <c r="CQ858">
        <v>232</v>
      </c>
      <c r="CR858">
        <v>1</v>
      </c>
      <c r="CW858">
        <v>15167655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1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"12/16/2021 14:46:21.319"</f>
        <v>12/16/2021 14:46:21.319</v>
      </c>
      <c r="C859" t="str">
        <f t="shared" si="40"/>
        <v>FFDFD3C0</v>
      </c>
      <c r="D859" t="s">
        <v>124</v>
      </c>
      <c r="E859">
        <v>10</v>
      </c>
      <c r="F859">
        <v>1010</v>
      </c>
      <c r="G859" t="s">
        <v>130</v>
      </c>
      <c r="J859" t="s">
        <v>125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"14:46:21.016"</f>
        <v>14:46:21.016</v>
      </c>
      <c r="T859" t="str">
        <f>"14:46:20.616"</f>
        <v>14:46:20.616</v>
      </c>
      <c r="U859" t="str">
        <f t="shared" si="39"/>
        <v>A0F928</v>
      </c>
      <c r="V859">
        <v>0</v>
      </c>
      <c r="W859">
        <v>0</v>
      </c>
      <c r="X859">
        <v>2</v>
      </c>
      <c r="Z859">
        <v>0</v>
      </c>
      <c r="AA859">
        <v>9</v>
      </c>
      <c r="AB859">
        <v>3</v>
      </c>
      <c r="AC859">
        <v>0</v>
      </c>
      <c r="AD859">
        <v>10</v>
      </c>
      <c r="AE859">
        <v>0</v>
      </c>
      <c r="AF859">
        <v>0</v>
      </c>
      <c r="AG859">
        <v>2</v>
      </c>
      <c r="AH859">
        <v>1</v>
      </c>
      <c r="AI859" t="s">
        <v>531</v>
      </c>
      <c r="AJ859">
        <v>35.812812000000001</v>
      </c>
      <c r="AK859" t="s">
        <v>532</v>
      </c>
      <c r="AL859">
        <v>-83.954430000000002</v>
      </c>
      <c r="AM859">
        <v>25</v>
      </c>
      <c r="AN859">
        <v>1550</v>
      </c>
      <c r="AO859" t="s">
        <v>118</v>
      </c>
      <c r="AP859">
        <v>28</v>
      </c>
      <c r="AQ859">
        <v>126</v>
      </c>
      <c r="AR859">
        <v>128</v>
      </c>
      <c r="AZ859">
        <v>300</v>
      </c>
      <c r="BA859">
        <v>1</v>
      </c>
      <c r="BB859" t="str">
        <f t="shared" si="41"/>
        <v xml:space="preserve">N162AM  </v>
      </c>
      <c r="BC859">
        <v>1</v>
      </c>
      <c r="BE859">
        <v>0</v>
      </c>
      <c r="BF859">
        <v>0</v>
      </c>
      <c r="BG859">
        <v>0</v>
      </c>
      <c r="BH859">
        <v>1800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>"14:46:21.021"</f>
        <v>14:46:21.021</v>
      </c>
      <c r="CJ859">
        <v>2</v>
      </c>
      <c r="CK859">
        <v>2</v>
      </c>
      <c r="CL859">
        <v>0</v>
      </c>
      <c r="CM859">
        <v>2</v>
      </c>
      <c r="CN859">
        <v>0</v>
      </c>
      <c r="CO859">
        <v>7</v>
      </c>
      <c r="CP859" t="s">
        <v>119</v>
      </c>
      <c r="CQ859">
        <v>232</v>
      </c>
      <c r="CR859">
        <v>1</v>
      </c>
      <c r="CW859">
        <v>15167655</v>
      </c>
      <c r="CY859">
        <v>1</v>
      </c>
      <c r="CZ859">
        <v>0</v>
      </c>
      <c r="DA859">
        <v>1</v>
      </c>
      <c r="DB859">
        <v>0</v>
      </c>
      <c r="DC859">
        <v>0</v>
      </c>
      <c r="DD859">
        <v>1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"12/16/2021 14:46:21.319"</f>
        <v>12/16/2021 14:46:21.319</v>
      </c>
      <c r="C860" t="str">
        <f t="shared" si="40"/>
        <v>FFDFD3C0</v>
      </c>
      <c r="D860" t="s">
        <v>113</v>
      </c>
      <c r="E860">
        <v>8</v>
      </c>
      <c r="H860">
        <v>176</v>
      </c>
      <c r="I860" t="s">
        <v>114</v>
      </c>
      <c r="J860" t="s">
        <v>115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"14:46:21.016"</f>
        <v>14:46:21.016</v>
      </c>
      <c r="T860" t="str">
        <f>"14:46:20.616"</f>
        <v>14:46:20.616</v>
      </c>
      <c r="U860" t="str">
        <f t="shared" si="39"/>
        <v>A0F928</v>
      </c>
      <c r="V860">
        <v>0</v>
      </c>
      <c r="W860">
        <v>0</v>
      </c>
      <c r="X860">
        <v>2</v>
      </c>
      <c r="Z860">
        <v>0</v>
      </c>
      <c r="AA860">
        <v>9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1</v>
      </c>
      <c r="AI860" t="s">
        <v>531</v>
      </c>
      <c r="AJ860">
        <v>35.812812000000001</v>
      </c>
      <c r="AK860" t="s">
        <v>532</v>
      </c>
      <c r="AL860">
        <v>-83.954430000000002</v>
      </c>
      <c r="AM860">
        <v>25</v>
      </c>
      <c r="AN860">
        <v>1550</v>
      </c>
      <c r="AO860" t="s">
        <v>118</v>
      </c>
      <c r="AP860">
        <v>28</v>
      </c>
      <c r="AQ860">
        <v>126</v>
      </c>
      <c r="AR860">
        <v>128</v>
      </c>
      <c r="AZ860">
        <v>300</v>
      </c>
      <c r="BA860">
        <v>1</v>
      </c>
      <c r="BB860" t="str">
        <f t="shared" si="41"/>
        <v xml:space="preserve">N162AM  </v>
      </c>
      <c r="BC860">
        <v>1</v>
      </c>
      <c r="BE860">
        <v>0</v>
      </c>
      <c r="BF860">
        <v>0</v>
      </c>
      <c r="BG860">
        <v>0</v>
      </c>
      <c r="BH860">
        <v>1800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>"14:46:21.021"</f>
        <v>14:46:21.021</v>
      </c>
      <c r="CJ860">
        <v>3</v>
      </c>
      <c r="CK860">
        <v>2</v>
      </c>
      <c r="CL860">
        <v>0</v>
      </c>
      <c r="CM860">
        <v>2</v>
      </c>
      <c r="CN860">
        <v>0</v>
      </c>
      <c r="CO860">
        <v>7</v>
      </c>
      <c r="CP860" t="s">
        <v>119</v>
      </c>
      <c r="CQ860">
        <v>232</v>
      </c>
      <c r="CR860">
        <v>1</v>
      </c>
      <c r="CW860">
        <v>15167655</v>
      </c>
      <c r="CY860">
        <v>1</v>
      </c>
      <c r="CZ860">
        <v>0</v>
      </c>
      <c r="DA860">
        <v>1</v>
      </c>
      <c r="DB860">
        <v>0</v>
      </c>
      <c r="DC860">
        <v>0</v>
      </c>
      <c r="DD860">
        <v>1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"12/16/2021 14:46:22.256"</f>
        <v>12/16/2021 14:46:22.256</v>
      </c>
      <c r="C861" t="str">
        <f t="shared" si="40"/>
        <v>FFDFD3C0</v>
      </c>
      <c r="D861" t="s">
        <v>124</v>
      </c>
      <c r="E861">
        <v>5</v>
      </c>
      <c r="F861">
        <v>1005</v>
      </c>
      <c r="G861" t="s">
        <v>114</v>
      </c>
      <c r="J861" t="s">
        <v>125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"14:46:21.977"</f>
        <v>14:46:21.977</v>
      </c>
      <c r="T861" t="str">
        <f>"14:46:21.577"</f>
        <v>14:46:21.577</v>
      </c>
      <c r="U861" t="str">
        <f t="shared" si="39"/>
        <v>A0F928</v>
      </c>
      <c r="V861">
        <v>0</v>
      </c>
      <c r="W861">
        <v>0</v>
      </c>
      <c r="X861">
        <v>2</v>
      </c>
      <c r="Z861">
        <v>0</v>
      </c>
      <c r="AA861">
        <v>9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1</v>
      </c>
      <c r="AI861" t="s">
        <v>533</v>
      </c>
      <c r="AJ861">
        <v>35.813369999999999</v>
      </c>
      <c r="AK861" t="s">
        <v>534</v>
      </c>
      <c r="AL861">
        <v>-83.954257999999996</v>
      </c>
      <c r="AM861">
        <v>25</v>
      </c>
      <c r="AN861">
        <v>1550</v>
      </c>
      <c r="AO861" t="s">
        <v>118</v>
      </c>
      <c r="AP861">
        <v>36</v>
      </c>
      <c r="AQ861">
        <v>124</v>
      </c>
      <c r="AR861">
        <v>64</v>
      </c>
      <c r="AZ861">
        <v>300</v>
      </c>
      <c r="BA861">
        <v>1</v>
      </c>
      <c r="BB861" t="str">
        <f t="shared" si="41"/>
        <v xml:space="preserve">N162AM  </v>
      </c>
      <c r="BC861">
        <v>1</v>
      </c>
      <c r="BE861">
        <v>0</v>
      </c>
      <c r="BF861">
        <v>0</v>
      </c>
      <c r="BG861">
        <v>0</v>
      </c>
      <c r="BH861">
        <v>1800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>"14:46:21.982"</f>
        <v>14:46:21.982</v>
      </c>
      <c r="CJ861">
        <v>3</v>
      </c>
      <c r="CK861">
        <v>2</v>
      </c>
      <c r="CL861">
        <v>0</v>
      </c>
      <c r="CM861">
        <v>2</v>
      </c>
      <c r="CN861">
        <v>0</v>
      </c>
      <c r="CO861">
        <v>6</v>
      </c>
      <c r="CP861" t="s">
        <v>119</v>
      </c>
      <c r="CQ861">
        <v>232</v>
      </c>
      <c r="CR861">
        <v>1</v>
      </c>
      <c r="CW861">
        <v>15169074</v>
      </c>
      <c r="CY861">
        <v>1</v>
      </c>
      <c r="CZ861">
        <v>0</v>
      </c>
      <c r="DA861">
        <v>0</v>
      </c>
      <c r="DB861">
        <v>0</v>
      </c>
      <c r="DC861">
        <v>0</v>
      </c>
      <c r="DD861">
        <v>1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"12/16/2021 14:46:22.256"</f>
        <v>12/16/2021 14:46:22.256</v>
      </c>
      <c r="C862" t="str">
        <f t="shared" si="40"/>
        <v>FFDFD3C0</v>
      </c>
      <c r="D862" t="s">
        <v>124</v>
      </c>
      <c r="E862">
        <v>10</v>
      </c>
      <c r="F862">
        <v>1010</v>
      </c>
      <c r="G862" t="s">
        <v>130</v>
      </c>
      <c r="J862" t="s">
        <v>125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"14:46:21.977"</f>
        <v>14:46:21.977</v>
      </c>
      <c r="T862" t="str">
        <f>"14:46:21.577"</f>
        <v>14:46:21.577</v>
      </c>
      <c r="U862" t="str">
        <f t="shared" si="39"/>
        <v>A0F928</v>
      </c>
      <c r="V862">
        <v>0</v>
      </c>
      <c r="W862">
        <v>0</v>
      </c>
      <c r="X862">
        <v>2</v>
      </c>
      <c r="Z862">
        <v>0</v>
      </c>
      <c r="AA862">
        <v>9</v>
      </c>
      <c r="AB862">
        <v>3</v>
      </c>
      <c r="AC862">
        <v>0</v>
      </c>
      <c r="AD862">
        <v>10</v>
      </c>
      <c r="AE862">
        <v>0</v>
      </c>
      <c r="AF862">
        <v>0</v>
      </c>
      <c r="AG862">
        <v>2</v>
      </c>
      <c r="AH862">
        <v>1</v>
      </c>
      <c r="AI862" t="s">
        <v>533</v>
      </c>
      <c r="AJ862">
        <v>35.813369999999999</v>
      </c>
      <c r="AK862" t="s">
        <v>534</v>
      </c>
      <c r="AL862">
        <v>-83.954257999999996</v>
      </c>
      <c r="AM862">
        <v>25</v>
      </c>
      <c r="AN862">
        <v>1550</v>
      </c>
      <c r="AO862" t="s">
        <v>118</v>
      </c>
      <c r="AP862">
        <v>36</v>
      </c>
      <c r="AQ862">
        <v>124</v>
      </c>
      <c r="AR862">
        <v>64</v>
      </c>
      <c r="AZ862">
        <v>300</v>
      </c>
      <c r="BA862">
        <v>1</v>
      </c>
      <c r="BB862" t="str">
        <f t="shared" si="41"/>
        <v xml:space="preserve">N162AM  </v>
      </c>
      <c r="BC862">
        <v>1</v>
      </c>
      <c r="BE862">
        <v>0</v>
      </c>
      <c r="BF862">
        <v>0</v>
      </c>
      <c r="BG862">
        <v>0</v>
      </c>
      <c r="BH862">
        <v>1800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>"14:46:21.982"</f>
        <v>14:46:21.982</v>
      </c>
      <c r="CJ862">
        <v>2</v>
      </c>
      <c r="CK862">
        <v>2</v>
      </c>
      <c r="CL862">
        <v>0</v>
      </c>
      <c r="CM862">
        <v>2</v>
      </c>
      <c r="CN862">
        <v>0</v>
      </c>
      <c r="CO862">
        <v>6</v>
      </c>
      <c r="CP862" t="s">
        <v>119</v>
      </c>
      <c r="CQ862">
        <v>232</v>
      </c>
      <c r="CR862">
        <v>1</v>
      </c>
      <c r="CW862">
        <v>15169074</v>
      </c>
      <c r="CY862">
        <v>1</v>
      </c>
      <c r="CZ862">
        <v>0</v>
      </c>
      <c r="DA862">
        <v>1</v>
      </c>
      <c r="DB862">
        <v>0</v>
      </c>
      <c r="DC862">
        <v>0</v>
      </c>
      <c r="DD862">
        <v>1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"12/16/2021 14:46:22.256"</f>
        <v>12/16/2021 14:46:22.256</v>
      </c>
      <c r="C863" t="str">
        <f t="shared" si="40"/>
        <v>FFDFD3C0</v>
      </c>
      <c r="D863" t="s">
        <v>133</v>
      </c>
      <c r="E863">
        <v>44</v>
      </c>
      <c r="H863">
        <v>131</v>
      </c>
      <c r="I863" t="s">
        <v>134</v>
      </c>
      <c r="J863" t="s">
        <v>135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"14:46:21.977"</f>
        <v>14:46:21.977</v>
      </c>
      <c r="T863" t="str">
        <f>"14:46:21.577"</f>
        <v>14:46:21.577</v>
      </c>
      <c r="U863" t="str">
        <f t="shared" si="39"/>
        <v>A0F928</v>
      </c>
      <c r="V863">
        <v>0</v>
      </c>
      <c r="W863">
        <v>0</v>
      </c>
      <c r="X863">
        <v>2</v>
      </c>
      <c r="Z863">
        <v>0</v>
      </c>
      <c r="AA863">
        <v>9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1</v>
      </c>
      <c r="AI863" t="s">
        <v>533</v>
      </c>
      <c r="AJ863">
        <v>35.813369999999999</v>
      </c>
      <c r="AK863" t="s">
        <v>534</v>
      </c>
      <c r="AL863">
        <v>-83.954257999999996</v>
      </c>
      <c r="AM863">
        <v>25</v>
      </c>
      <c r="AN863">
        <v>1550</v>
      </c>
      <c r="AO863" t="s">
        <v>118</v>
      </c>
      <c r="AP863">
        <v>36</v>
      </c>
      <c r="AQ863">
        <v>124</v>
      </c>
      <c r="AR863">
        <v>64</v>
      </c>
      <c r="AZ863">
        <v>300</v>
      </c>
      <c r="BA863">
        <v>1</v>
      </c>
      <c r="BB863" t="str">
        <f t="shared" si="41"/>
        <v xml:space="preserve">N162AM  </v>
      </c>
      <c r="BC863">
        <v>1</v>
      </c>
      <c r="BE863">
        <v>0</v>
      </c>
      <c r="BF863">
        <v>0</v>
      </c>
      <c r="BG863">
        <v>0</v>
      </c>
      <c r="BH863">
        <v>1800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>"14:46:21.982"</f>
        <v>14:46:21.982</v>
      </c>
      <c r="CJ863">
        <v>3</v>
      </c>
      <c r="CK863">
        <v>2</v>
      </c>
      <c r="CL863">
        <v>0</v>
      </c>
      <c r="CM863">
        <v>2</v>
      </c>
      <c r="CN863">
        <v>0</v>
      </c>
      <c r="CO863">
        <v>6</v>
      </c>
      <c r="CP863" t="s">
        <v>119</v>
      </c>
      <c r="CQ863">
        <v>232</v>
      </c>
      <c r="CR863">
        <v>1</v>
      </c>
      <c r="CW863">
        <v>15169074</v>
      </c>
      <c r="CY863">
        <v>1</v>
      </c>
      <c r="CZ863">
        <v>0</v>
      </c>
      <c r="DA863">
        <v>1</v>
      </c>
      <c r="DB863">
        <v>0</v>
      </c>
      <c r="DC863">
        <v>0</v>
      </c>
      <c r="DD863">
        <v>1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"12/16/2021 14:46:22.256"</f>
        <v>12/16/2021 14:46:22.256</v>
      </c>
      <c r="C864" t="str">
        <f t="shared" si="40"/>
        <v>FFDFD3C0</v>
      </c>
      <c r="D864" t="s">
        <v>113</v>
      </c>
      <c r="E864">
        <v>8</v>
      </c>
      <c r="H864">
        <v>176</v>
      </c>
      <c r="I864" t="s">
        <v>114</v>
      </c>
      <c r="J864" t="s">
        <v>115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"14:46:21.977"</f>
        <v>14:46:21.977</v>
      </c>
      <c r="T864" t="str">
        <f>"14:46:21.577"</f>
        <v>14:46:21.577</v>
      </c>
      <c r="U864" t="str">
        <f t="shared" si="39"/>
        <v>A0F928</v>
      </c>
      <c r="V864">
        <v>0</v>
      </c>
      <c r="W864">
        <v>0</v>
      </c>
      <c r="X864">
        <v>2</v>
      </c>
      <c r="Z864">
        <v>0</v>
      </c>
      <c r="AA864">
        <v>9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1</v>
      </c>
      <c r="AI864" t="s">
        <v>533</v>
      </c>
      <c r="AJ864">
        <v>35.813369999999999</v>
      </c>
      <c r="AK864" t="s">
        <v>534</v>
      </c>
      <c r="AL864">
        <v>-83.954257999999996</v>
      </c>
      <c r="AM864">
        <v>25</v>
      </c>
      <c r="AN864">
        <v>1550</v>
      </c>
      <c r="AO864" t="s">
        <v>118</v>
      </c>
      <c r="AP864">
        <v>36</v>
      </c>
      <c r="AQ864">
        <v>124</v>
      </c>
      <c r="AR864">
        <v>64</v>
      </c>
      <c r="AZ864">
        <v>300</v>
      </c>
      <c r="BA864">
        <v>1</v>
      </c>
      <c r="BB864" t="str">
        <f t="shared" si="41"/>
        <v xml:space="preserve">N162AM  </v>
      </c>
      <c r="BC864">
        <v>1</v>
      </c>
      <c r="BE864">
        <v>0</v>
      </c>
      <c r="BF864">
        <v>0</v>
      </c>
      <c r="BG864">
        <v>0</v>
      </c>
      <c r="BH864">
        <v>1800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>"14:46:21.982"</f>
        <v>14:46:21.982</v>
      </c>
      <c r="CJ864">
        <v>3</v>
      </c>
      <c r="CK864">
        <v>2</v>
      </c>
      <c r="CL864">
        <v>0</v>
      </c>
      <c r="CM864">
        <v>2</v>
      </c>
      <c r="CN864">
        <v>0</v>
      </c>
      <c r="CO864">
        <v>6</v>
      </c>
      <c r="CP864" t="s">
        <v>119</v>
      </c>
      <c r="CQ864">
        <v>232</v>
      </c>
      <c r="CR864">
        <v>1</v>
      </c>
      <c r="CW864">
        <v>15169074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1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"12/16/2021 14:46:23.210"</f>
        <v>12/16/2021 14:46:23.210</v>
      </c>
      <c r="C865" t="str">
        <f t="shared" si="40"/>
        <v>FFDFD3C0</v>
      </c>
      <c r="D865" t="s">
        <v>124</v>
      </c>
      <c r="E865">
        <v>5</v>
      </c>
      <c r="F865">
        <v>1005</v>
      </c>
      <c r="G865" t="s">
        <v>114</v>
      </c>
      <c r="J865" t="s">
        <v>125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"14:46:23.023"</f>
        <v>14:46:23.023</v>
      </c>
      <c r="T865" t="str">
        <f>"14:46:22.523"</f>
        <v>14:46:22.523</v>
      </c>
      <c r="U865" t="str">
        <f t="shared" si="39"/>
        <v>A0F928</v>
      </c>
      <c r="V865">
        <v>0</v>
      </c>
      <c r="W865">
        <v>0</v>
      </c>
      <c r="X865">
        <v>2</v>
      </c>
      <c r="Z865">
        <v>0</v>
      </c>
      <c r="AA865">
        <v>9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2</v>
      </c>
      <c r="AH865">
        <v>1</v>
      </c>
      <c r="AI865" t="s">
        <v>403</v>
      </c>
      <c r="AJ865">
        <v>35.813927999999997</v>
      </c>
      <c r="AK865" t="s">
        <v>535</v>
      </c>
      <c r="AL865">
        <v>-83.953979000000004</v>
      </c>
      <c r="AM865">
        <v>25</v>
      </c>
      <c r="AN865">
        <v>1550</v>
      </c>
      <c r="AO865" t="s">
        <v>118</v>
      </c>
      <c r="AP865">
        <v>43</v>
      </c>
      <c r="AQ865">
        <v>121</v>
      </c>
      <c r="AR865">
        <v>0</v>
      </c>
      <c r="AZ865">
        <v>300</v>
      </c>
      <c r="BA865">
        <v>1</v>
      </c>
      <c r="BB865" t="str">
        <f t="shared" si="41"/>
        <v xml:space="preserve">N162AM  </v>
      </c>
      <c r="BC865">
        <v>1</v>
      </c>
      <c r="BE865">
        <v>0</v>
      </c>
      <c r="BF865">
        <v>0</v>
      </c>
      <c r="BG865">
        <v>0</v>
      </c>
      <c r="BH865">
        <v>1800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>"14:46:23.024"</f>
        <v>14:46:23.024</v>
      </c>
      <c r="CJ865">
        <v>3</v>
      </c>
      <c r="CK865">
        <v>2</v>
      </c>
      <c r="CL865">
        <v>0</v>
      </c>
      <c r="CM865">
        <v>2</v>
      </c>
      <c r="CN865">
        <v>0</v>
      </c>
      <c r="CO865">
        <v>6</v>
      </c>
      <c r="CP865" t="s">
        <v>119</v>
      </c>
      <c r="CQ865">
        <v>232</v>
      </c>
      <c r="CR865">
        <v>1</v>
      </c>
      <c r="CW865">
        <v>15170658</v>
      </c>
      <c r="CY865">
        <v>1</v>
      </c>
      <c r="CZ865">
        <v>0</v>
      </c>
      <c r="DA865">
        <v>0</v>
      </c>
      <c r="DB865">
        <v>0</v>
      </c>
      <c r="DC865">
        <v>0</v>
      </c>
      <c r="DD865">
        <v>1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"12/16/2021 14:46:23.272"</f>
        <v>12/16/2021 14:46:23.272</v>
      </c>
      <c r="C866" t="str">
        <f t="shared" si="40"/>
        <v>FFDFD3C0</v>
      </c>
      <c r="D866" t="s">
        <v>133</v>
      </c>
      <c r="E866">
        <v>44</v>
      </c>
      <c r="H866">
        <v>131</v>
      </c>
      <c r="I866" t="s">
        <v>134</v>
      </c>
      <c r="J866" t="s">
        <v>135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"14:46:23.023"</f>
        <v>14:46:23.023</v>
      </c>
      <c r="T866" t="str">
        <f>"14:46:22.523"</f>
        <v>14:46:22.523</v>
      </c>
      <c r="U866" t="str">
        <f t="shared" si="39"/>
        <v>A0F928</v>
      </c>
      <c r="V866">
        <v>0</v>
      </c>
      <c r="W866">
        <v>0</v>
      </c>
      <c r="X866">
        <v>2</v>
      </c>
      <c r="Z866">
        <v>0</v>
      </c>
      <c r="AA866">
        <v>9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2</v>
      </c>
      <c r="AH866">
        <v>1</v>
      </c>
      <c r="AI866" t="s">
        <v>403</v>
      </c>
      <c r="AJ866">
        <v>35.813927999999997</v>
      </c>
      <c r="AK866" t="s">
        <v>535</v>
      </c>
      <c r="AL866">
        <v>-83.953979000000004</v>
      </c>
      <c r="AM866">
        <v>25</v>
      </c>
      <c r="AN866">
        <v>1550</v>
      </c>
      <c r="AO866" t="s">
        <v>118</v>
      </c>
      <c r="AP866">
        <v>43</v>
      </c>
      <c r="AQ866">
        <v>121</v>
      </c>
      <c r="AR866">
        <v>0</v>
      </c>
      <c r="AZ866">
        <v>300</v>
      </c>
      <c r="BA866">
        <v>1</v>
      </c>
      <c r="BB866" t="str">
        <f t="shared" si="41"/>
        <v xml:space="preserve">N162AM  </v>
      </c>
      <c r="BC866">
        <v>1</v>
      </c>
      <c r="BE866">
        <v>0</v>
      </c>
      <c r="BF866">
        <v>0</v>
      </c>
      <c r="BG866">
        <v>0</v>
      </c>
      <c r="BH866">
        <v>1800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>"14:46:23.024"</f>
        <v>14:46:23.024</v>
      </c>
      <c r="CJ866">
        <v>3</v>
      </c>
      <c r="CK866">
        <v>2</v>
      </c>
      <c r="CL866">
        <v>0</v>
      </c>
      <c r="CM866">
        <v>2</v>
      </c>
      <c r="CN866">
        <v>0</v>
      </c>
      <c r="CO866">
        <v>6</v>
      </c>
      <c r="CP866" t="s">
        <v>119</v>
      </c>
      <c r="CQ866">
        <v>232</v>
      </c>
      <c r="CR866">
        <v>1</v>
      </c>
      <c r="CW866">
        <v>15170658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1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"12/16/2021 14:46:23.272"</f>
        <v>12/16/2021 14:46:23.272</v>
      </c>
      <c r="C867" t="str">
        <f t="shared" si="40"/>
        <v>FFDFD3C0</v>
      </c>
      <c r="D867" t="s">
        <v>113</v>
      </c>
      <c r="E867">
        <v>8</v>
      </c>
      <c r="H867">
        <v>176</v>
      </c>
      <c r="I867" t="s">
        <v>114</v>
      </c>
      <c r="J867" t="s">
        <v>115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"14:46:23.023"</f>
        <v>14:46:23.023</v>
      </c>
      <c r="T867" t="str">
        <f>"14:46:22.523"</f>
        <v>14:46:22.523</v>
      </c>
      <c r="U867" t="str">
        <f t="shared" si="39"/>
        <v>A0F928</v>
      </c>
      <c r="V867">
        <v>0</v>
      </c>
      <c r="W867">
        <v>0</v>
      </c>
      <c r="X867">
        <v>2</v>
      </c>
      <c r="Z867">
        <v>0</v>
      </c>
      <c r="AA867">
        <v>9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2</v>
      </c>
      <c r="AH867">
        <v>1</v>
      </c>
      <c r="AI867" t="s">
        <v>403</v>
      </c>
      <c r="AJ867">
        <v>35.813927999999997</v>
      </c>
      <c r="AK867" t="s">
        <v>535</v>
      </c>
      <c r="AL867">
        <v>-83.953979000000004</v>
      </c>
      <c r="AM867">
        <v>25</v>
      </c>
      <c r="AN867">
        <v>1550</v>
      </c>
      <c r="AO867" t="s">
        <v>118</v>
      </c>
      <c r="AP867">
        <v>43</v>
      </c>
      <c r="AQ867">
        <v>121</v>
      </c>
      <c r="AR867">
        <v>0</v>
      </c>
      <c r="AZ867">
        <v>300</v>
      </c>
      <c r="BA867">
        <v>1</v>
      </c>
      <c r="BB867" t="str">
        <f t="shared" si="41"/>
        <v xml:space="preserve">N162AM  </v>
      </c>
      <c r="BC867">
        <v>1</v>
      </c>
      <c r="BE867">
        <v>0</v>
      </c>
      <c r="BF867">
        <v>0</v>
      </c>
      <c r="BG867">
        <v>0</v>
      </c>
      <c r="BH867">
        <v>1800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>"14:46:23.024"</f>
        <v>14:46:23.024</v>
      </c>
      <c r="CJ867">
        <v>3</v>
      </c>
      <c r="CK867">
        <v>2</v>
      </c>
      <c r="CL867">
        <v>0</v>
      </c>
      <c r="CM867">
        <v>2</v>
      </c>
      <c r="CN867">
        <v>0</v>
      </c>
      <c r="CO867">
        <v>6</v>
      </c>
      <c r="CP867" t="s">
        <v>119</v>
      </c>
      <c r="CQ867">
        <v>232</v>
      </c>
      <c r="CR867">
        <v>1</v>
      </c>
      <c r="CW867">
        <v>15170658</v>
      </c>
      <c r="CY867">
        <v>1</v>
      </c>
      <c r="CZ867">
        <v>0</v>
      </c>
      <c r="DA867">
        <v>1</v>
      </c>
      <c r="DB867">
        <v>0</v>
      </c>
      <c r="DC867">
        <v>0</v>
      </c>
      <c r="DD867">
        <v>1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"12/16/2021 14:46:23.272"</f>
        <v>12/16/2021 14:46:23.272</v>
      </c>
      <c r="C868" t="str">
        <f t="shared" si="40"/>
        <v>FFDFD3C0</v>
      </c>
      <c r="D868" t="s">
        <v>124</v>
      </c>
      <c r="E868">
        <v>10</v>
      </c>
      <c r="F868">
        <v>1010</v>
      </c>
      <c r="G868" t="s">
        <v>130</v>
      </c>
      <c r="J868" t="s">
        <v>125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"14:46:23.023"</f>
        <v>14:46:23.023</v>
      </c>
      <c r="T868" t="str">
        <f>"14:46:22.523"</f>
        <v>14:46:22.523</v>
      </c>
      <c r="U868" t="str">
        <f t="shared" si="39"/>
        <v>A0F928</v>
      </c>
      <c r="V868">
        <v>0</v>
      </c>
      <c r="W868">
        <v>0</v>
      </c>
      <c r="X868">
        <v>2</v>
      </c>
      <c r="Z868">
        <v>0</v>
      </c>
      <c r="AA868">
        <v>9</v>
      </c>
      <c r="AB868">
        <v>3</v>
      </c>
      <c r="AC868">
        <v>0</v>
      </c>
      <c r="AD868">
        <v>10</v>
      </c>
      <c r="AE868">
        <v>0</v>
      </c>
      <c r="AF868">
        <v>0</v>
      </c>
      <c r="AG868">
        <v>2</v>
      </c>
      <c r="AH868">
        <v>1</v>
      </c>
      <c r="AI868" t="s">
        <v>403</v>
      </c>
      <c r="AJ868">
        <v>35.813927999999997</v>
      </c>
      <c r="AK868" t="s">
        <v>535</v>
      </c>
      <c r="AL868">
        <v>-83.953979000000004</v>
      </c>
      <c r="AM868">
        <v>25</v>
      </c>
      <c r="AN868">
        <v>1550</v>
      </c>
      <c r="AO868" t="s">
        <v>118</v>
      </c>
      <c r="AP868">
        <v>43</v>
      </c>
      <c r="AQ868">
        <v>121</v>
      </c>
      <c r="AR868">
        <v>0</v>
      </c>
      <c r="AZ868">
        <v>300</v>
      </c>
      <c r="BA868">
        <v>1</v>
      </c>
      <c r="BB868" t="str">
        <f t="shared" si="41"/>
        <v xml:space="preserve">N162AM  </v>
      </c>
      <c r="BC868">
        <v>1</v>
      </c>
      <c r="BE868">
        <v>0</v>
      </c>
      <c r="BF868">
        <v>0</v>
      </c>
      <c r="BG868">
        <v>0</v>
      </c>
      <c r="BH868">
        <v>1800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>"14:46:23.024"</f>
        <v>14:46:23.024</v>
      </c>
      <c r="CJ868">
        <v>2</v>
      </c>
      <c r="CK868">
        <v>2</v>
      </c>
      <c r="CL868">
        <v>0</v>
      </c>
      <c r="CM868">
        <v>2</v>
      </c>
      <c r="CN868">
        <v>0</v>
      </c>
      <c r="CO868">
        <v>6</v>
      </c>
      <c r="CP868" t="s">
        <v>119</v>
      </c>
      <c r="CQ868">
        <v>232</v>
      </c>
      <c r="CR868">
        <v>1</v>
      </c>
      <c r="CW868">
        <v>15170658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1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"12/16/2021 14:46:24.657"</f>
        <v>12/16/2021 14:46:24.657</v>
      </c>
      <c r="C869" t="str">
        <f t="shared" si="40"/>
        <v>FFDFD3C0</v>
      </c>
      <c r="D869" t="s">
        <v>133</v>
      </c>
      <c r="E869">
        <v>44</v>
      </c>
      <c r="H869">
        <v>131</v>
      </c>
      <c r="I869" t="s">
        <v>134</v>
      </c>
      <c r="J869" t="s">
        <v>135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"14:46:24.367"</f>
        <v>14:46:24.367</v>
      </c>
      <c r="T869" t="str">
        <f>"14:46:23.967"</f>
        <v>14:46:23.967</v>
      </c>
      <c r="U869" t="str">
        <f t="shared" si="39"/>
        <v>A0F928</v>
      </c>
      <c r="V869">
        <v>0</v>
      </c>
      <c r="W869">
        <v>0</v>
      </c>
      <c r="X869">
        <v>2</v>
      </c>
      <c r="Z869">
        <v>0</v>
      </c>
      <c r="AA869">
        <v>9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2</v>
      </c>
      <c r="AH869">
        <v>1</v>
      </c>
      <c r="AI869" t="s">
        <v>536</v>
      </c>
      <c r="AJ869">
        <v>35.814700000000002</v>
      </c>
      <c r="AK869" t="s">
        <v>537</v>
      </c>
      <c r="AL869">
        <v>-83.953570999999997</v>
      </c>
      <c r="AM869">
        <v>25</v>
      </c>
      <c r="AN869">
        <v>1550</v>
      </c>
      <c r="AO869" t="s">
        <v>118</v>
      </c>
      <c r="AP869">
        <v>52</v>
      </c>
      <c r="AQ869">
        <v>118</v>
      </c>
      <c r="AR869">
        <v>-64</v>
      </c>
      <c r="AZ869">
        <v>300</v>
      </c>
      <c r="BA869">
        <v>1</v>
      </c>
      <c r="BB869" t="str">
        <f t="shared" si="41"/>
        <v xml:space="preserve">N162AM  </v>
      </c>
      <c r="BC869">
        <v>1</v>
      </c>
      <c r="BE869">
        <v>0</v>
      </c>
      <c r="BF869">
        <v>0</v>
      </c>
      <c r="BG869">
        <v>0</v>
      </c>
      <c r="BH869">
        <v>1800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>"14:46:24.372"</f>
        <v>14:46:24.372</v>
      </c>
      <c r="CJ869">
        <v>3</v>
      </c>
      <c r="CK869">
        <v>2</v>
      </c>
      <c r="CL869">
        <v>0</v>
      </c>
      <c r="CM869">
        <v>2</v>
      </c>
      <c r="CN869">
        <v>0</v>
      </c>
      <c r="CO869">
        <v>6</v>
      </c>
      <c r="CP869" t="s">
        <v>119</v>
      </c>
      <c r="CQ869">
        <v>232</v>
      </c>
      <c r="CR869">
        <v>1</v>
      </c>
      <c r="CW869">
        <v>15172862</v>
      </c>
      <c r="CY869">
        <v>1</v>
      </c>
      <c r="CZ869">
        <v>0</v>
      </c>
      <c r="DA869">
        <v>0</v>
      </c>
      <c r="DB869">
        <v>0</v>
      </c>
      <c r="DC869">
        <v>0</v>
      </c>
      <c r="DD869">
        <v>1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"12/16/2021 14:46:24.657"</f>
        <v>12/16/2021 14:46:24.657</v>
      </c>
      <c r="C870" t="str">
        <f t="shared" si="40"/>
        <v>FFDFD3C0</v>
      </c>
      <c r="D870" t="s">
        <v>113</v>
      </c>
      <c r="E870">
        <v>8</v>
      </c>
      <c r="H870">
        <v>176</v>
      </c>
      <c r="I870" t="s">
        <v>114</v>
      </c>
      <c r="J870" t="s">
        <v>115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"14:46:24.367"</f>
        <v>14:46:24.367</v>
      </c>
      <c r="T870" t="str">
        <f>"14:46:23.967"</f>
        <v>14:46:23.967</v>
      </c>
      <c r="U870" t="str">
        <f t="shared" si="39"/>
        <v>A0F928</v>
      </c>
      <c r="V870">
        <v>0</v>
      </c>
      <c r="W870">
        <v>0</v>
      </c>
      <c r="X870">
        <v>2</v>
      </c>
      <c r="Z870">
        <v>0</v>
      </c>
      <c r="AA870">
        <v>9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1</v>
      </c>
      <c r="AI870" t="s">
        <v>536</v>
      </c>
      <c r="AJ870">
        <v>35.814700000000002</v>
      </c>
      <c r="AK870" t="s">
        <v>537</v>
      </c>
      <c r="AL870">
        <v>-83.953570999999997</v>
      </c>
      <c r="AM870">
        <v>25</v>
      </c>
      <c r="AN870">
        <v>1550</v>
      </c>
      <c r="AO870" t="s">
        <v>118</v>
      </c>
      <c r="AP870">
        <v>52</v>
      </c>
      <c r="AQ870">
        <v>118</v>
      </c>
      <c r="AR870">
        <v>-64</v>
      </c>
      <c r="AZ870">
        <v>300</v>
      </c>
      <c r="BA870">
        <v>1</v>
      </c>
      <c r="BB870" t="str">
        <f t="shared" si="41"/>
        <v xml:space="preserve">N162AM  </v>
      </c>
      <c r="BC870">
        <v>1</v>
      </c>
      <c r="BE870">
        <v>0</v>
      </c>
      <c r="BF870">
        <v>0</v>
      </c>
      <c r="BG870">
        <v>0</v>
      </c>
      <c r="BH870">
        <v>1800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>"14:46:24.372"</f>
        <v>14:46:24.372</v>
      </c>
      <c r="CJ870">
        <v>3</v>
      </c>
      <c r="CK870">
        <v>2</v>
      </c>
      <c r="CL870">
        <v>0</v>
      </c>
      <c r="CM870">
        <v>2</v>
      </c>
      <c r="CN870">
        <v>0</v>
      </c>
      <c r="CO870">
        <v>6</v>
      </c>
      <c r="CP870" t="s">
        <v>119</v>
      </c>
      <c r="CQ870">
        <v>232</v>
      </c>
      <c r="CR870">
        <v>1</v>
      </c>
      <c r="CW870">
        <v>15172862</v>
      </c>
      <c r="CY870">
        <v>1</v>
      </c>
      <c r="CZ870">
        <v>0</v>
      </c>
      <c r="DA870">
        <v>1</v>
      </c>
      <c r="DB870">
        <v>0</v>
      </c>
      <c r="DC870">
        <v>0</v>
      </c>
      <c r="DD870">
        <v>1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"12/16/2021 14:46:24.657"</f>
        <v>12/16/2021 14:46:24.657</v>
      </c>
      <c r="C871" t="str">
        <f t="shared" si="40"/>
        <v>FFDFD3C0</v>
      </c>
      <c r="D871" t="s">
        <v>124</v>
      </c>
      <c r="E871">
        <v>10</v>
      </c>
      <c r="F871">
        <v>1010</v>
      </c>
      <c r="G871" t="s">
        <v>130</v>
      </c>
      <c r="J871" t="s">
        <v>125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"14:46:24.367"</f>
        <v>14:46:24.367</v>
      </c>
      <c r="T871" t="str">
        <f>"14:46:23.967"</f>
        <v>14:46:23.967</v>
      </c>
      <c r="U871" t="str">
        <f t="shared" si="39"/>
        <v>A0F928</v>
      </c>
      <c r="V871">
        <v>0</v>
      </c>
      <c r="W871">
        <v>0</v>
      </c>
      <c r="X871">
        <v>2</v>
      </c>
      <c r="Z871">
        <v>0</v>
      </c>
      <c r="AA871">
        <v>9</v>
      </c>
      <c r="AB871">
        <v>3</v>
      </c>
      <c r="AC871">
        <v>0</v>
      </c>
      <c r="AD871">
        <v>10</v>
      </c>
      <c r="AE871">
        <v>0</v>
      </c>
      <c r="AF871">
        <v>0</v>
      </c>
      <c r="AG871">
        <v>2</v>
      </c>
      <c r="AH871">
        <v>1</v>
      </c>
      <c r="AI871" t="s">
        <v>536</v>
      </c>
      <c r="AJ871">
        <v>35.814700000000002</v>
      </c>
      <c r="AK871" t="s">
        <v>537</v>
      </c>
      <c r="AL871">
        <v>-83.953570999999997</v>
      </c>
      <c r="AM871">
        <v>25</v>
      </c>
      <c r="AN871">
        <v>1550</v>
      </c>
      <c r="AO871" t="s">
        <v>118</v>
      </c>
      <c r="AP871">
        <v>52</v>
      </c>
      <c r="AQ871">
        <v>118</v>
      </c>
      <c r="AR871">
        <v>-64</v>
      </c>
      <c r="AZ871">
        <v>300</v>
      </c>
      <c r="BA871">
        <v>1</v>
      </c>
      <c r="BB871" t="str">
        <f t="shared" si="41"/>
        <v xml:space="preserve">N162AM  </v>
      </c>
      <c r="BC871">
        <v>1</v>
      </c>
      <c r="BE871">
        <v>0</v>
      </c>
      <c r="BF871">
        <v>0</v>
      </c>
      <c r="BG871">
        <v>0</v>
      </c>
      <c r="BH871">
        <v>1800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>"14:46:24.372"</f>
        <v>14:46:24.372</v>
      </c>
      <c r="CJ871">
        <v>2</v>
      </c>
      <c r="CK871">
        <v>2</v>
      </c>
      <c r="CL871">
        <v>0</v>
      </c>
      <c r="CM871">
        <v>2</v>
      </c>
      <c r="CN871">
        <v>0</v>
      </c>
      <c r="CO871">
        <v>6</v>
      </c>
      <c r="CP871" t="s">
        <v>119</v>
      </c>
      <c r="CQ871">
        <v>232</v>
      </c>
      <c r="CR871">
        <v>1</v>
      </c>
      <c r="CW871">
        <v>15172862</v>
      </c>
      <c r="CY871">
        <v>1</v>
      </c>
      <c r="CZ871">
        <v>0</v>
      </c>
      <c r="DA871">
        <v>1</v>
      </c>
      <c r="DB871">
        <v>0</v>
      </c>
      <c r="DC871">
        <v>0</v>
      </c>
      <c r="DD871">
        <v>1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"12/16/2021 14:46:24.657"</f>
        <v>12/16/2021 14:46:24.657</v>
      </c>
      <c r="C872" t="str">
        <f t="shared" si="40"/>
        <v>FFDFD3C0</v>
      </c>
      <c r="D872" t="s">
        <v>124</v>
      </c>
      <c r="E872">
        <v>5</v>
      </c>
      <c r="F872">
        <v>1005</v>
      </c>
      <c r="G872" t="s">
        <v>114</v>
      </c>
      <c r="J872" t="s">
        <v>125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"14:46:24.367"</f>
        <v>14:46:24.367</v>
      </c>
      <c r="T872" t="str">
        <f>"14:46:23.967"</f>
        <v>14:46:23.967</v>
      </c>
      <c r="U872" t="str">
        <f t="shared" si="39"/>
        <v>A0F928</v>
      </c>
      <c r="V872">
        <v>0</v>
      </c>
      <c r="W872">
        <v>0</v>
      </c>
      <c r="X872">
        <v>2</v>
      </c>
      <c r="Z872">
        <v>0</v>
      </c>
      <c r="AA872">
        <v>9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2</v>
      </c>
      <c r="AH872">
        <v>1</v>
      </c>
      <c r="AI872" t="s">
        <v>536</v>
      </c>
      <c r="AJ872">
        <v>35.814700000000002</v>
      </c>
      <c r="AK872" t="s">
        <v>537</v>
      </c>
      <c r="AL872">
        <v>-83.953570999999997</v>
      </c>
      <c r="AM872">
        <v>25</v>
      </c>
      <c r="AN872">
        <v>1550</v>
      </c>
      <c r="AO872" t="s">
        <v>118</v>
      </c>
      <c r="AP872">
        <v>52</v>
      </c>
      <c r="AQ872">
        <v>118</v>
      </c>
      <c r="AR872">
        <v>-64</v>
      </c>
      <c r="AZ872">
        <v>300</v>
      </c>
      <c r="BA872">
        <v>1</v>
      </c>
      <c r="BB872" t="str">
        <f t="shared" si="41"/>
        <v xml:space="preserve">N162AM  </v>
      </c>
      <c r="BC872">
        <v>1</v>
      </c>
      <c r="BE872">
        <v>0</v>
      </c>
      <c r="BF872">
        <v>0</v>
      </c>
      <c r="BG872">
        <v>0</v>
      </c>
      <c r="BH872">
        <v>1800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>"14:46:24.372"</f>
        <v>14:46:24.372</v>
      </c>
      <c r="CJ872">
        <v>3</v>
      </c>
      <c r="CK872">
        <v>2</v>
      </c>
      <c r="CL872">
        <v>0</v>
      </c>
      <c r="CM872">
        <v>2</v>
      </c>
      <c r="CN872">
        <v>0</v>
      </c>
      <c r="CO872">
        <v>6</v>
      </c>
      <c r="CP872" t="s">
        <v>119</v>
      </c>
      <c r="CQ872">
        <v>232</v>
      </c>
      <c r="CR872">
        <v>1</v>
      </c>
      <c r="CW872">
        <v>15172862</v>
      </c>
      <c r="CY872">
        <v>1</v>
      </c>
      <c r="CZ872">
        <v>0</v>
      </c>
      <c r="DA872">
        <v>1</v>
      </c>
      <c r="DB872">
        <v>0</v>
      </c>
      <c r="DC872">
        <v>0</v>
      </c>
      <c r="DD872">
        <v>1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"12/16/2021 14:46:25.608"</f>
        <v>12/16/2021 14:46:25.608</v>
      </c>
      <c r="C873" t="str">
        <f t="shared" si="40"/>
        <v>FFDFD3C0</v>
      </c>
      <c r="D873" t="s">
        <v>113</v>
      </c>
      <c r="E873">
        <v>8</v>
      </c>
      <c r="H873">
        <v>176</v>
      </c>
      <c r="I873" t="s">
        <v>114</v>
      </c>
      <c r="J873" t="s">
        <v>115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"14:46:25.406"</f>
        <v>14:46:25.406</v>
      </c>
      <c r="T873" t="str">
        <f>"14:46:24.906"</f>
        <v>14:46:24.906</v>
      </c>
      <c r="U873" t="str">
        <f t="shared" si="39"/>
        <v>A0F928</v>
      </c>
      <c r="V873">
        <v>0</v>
      </c>
      <c r="W873">
        <v>0</v>
      </c>
      <c r="X873">
        <v>2</v>
      </c>
      <c r="Z873">
        <v>0</v>
      </c>
      <c r="AA873">
        <v>9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2</v>
      </c>
      <c r="AH873">
        <v>1</v>
      </c>
      <c r="AI873" t="s">
        <v>538</v>
      </c>
      <c r="AJ873">
        <v>35.815193999999998</v>
      </c>
      <c r="AK873" t="s">
        <v>539</v>
      </c>
      <c r="AL873">
        <v>-83.953227999999996</v>
      </c>
      <c r="AM873">
        <v>25</v>
      </c>
      <c r="AN873">
        <v>1550</v>
      </c>
      <c r="AO873" t="s">
        <v>118</v>
      </c>
      <c r="AP873">
        <v>59</v>
      </c>
      <c r="AQ873">
        <v>114</v>
      </c>
      <c r="AR873">
        <v>-128</v>
      </c>
      <c r="AZ873">
        <v>300</v>
      </c>
      <c r="BA873">
        <v>1</v>
      </c>
      <c r="BB873" t="str">
        <f t="shared" si="41"/>
        <v xml:space="preserve">N162AM  </v>
      </c>
      <c r="BC873">
        <v>1</v>
      </c>
      <c r="BE873">
        <v>0</v>
      </c>
      <c r="BF873">
        <v>0</v>
      </c>
      <c r="BG873">
        <v>0</v>
      </c>
      <c r="BH873">
        <v>1800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>"14:46:25.412"</f>
        <v>14:46:25.412</v>
      </c>
      <c r="CJ873">
        <v>3</v>
      </c>
      <c r="CK873">
        <v>2</v>
      </c>
      <c r="CL873">
        <v>0</v>
      </c>
      <c r="CM873">
        <v>2</v>
      </c>
      <c r="CN873">
        <v>0</v>
      </c>
      <c r="CO873">
        <v>7</v>
      </c>
      <c r="CP873" t="s">
        <v>119</v>
      </c>
      <c r="CQ873">
        <v>232</v>
      </c>
      <c r="CR873">
        <v>1</v>
      </c>
      <c r="CW873">
        <v>15174449</v>
      </c>
      <c r="CY873">
        <v>1</v>
      </c>
      <c r="CZ873">
        <v>0</v>
      </c>
      <c r="DA873">
        <v>0</v>
      </c>
      <c r="DB873">
        <v>0</v>
      </c>
      <c r="DC873">
        <v>0</v>
      </c>
      <c r="DD873">
        <v>1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"12/16/2021 14:46:25.608"</f>
        <v>12/16/2021 14:46:25.608</v>
      </c>
      <c r="C874" t="str">
        <f t="shared" si="40"/>
        <v>FFDFD3C0</v>
      </c>
      <c r="D874" t="s">
        <v>133</v>
      </c>
      <c r="E874">
        <v>44</v>
      </c>
      <c r="H874">
        <v>131</v>
      </c>
      <c r="I874" t="s">
        <v>134</v>
      </c>
      <c r="J874" t="s">
        <v>135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"14:46:25.406"</f>
        <v>14:46:25.406</v>
      </c>
      <c r="T874" t="str">
        <f>"14:46:24.906"</f>
        <v>14:46:24.906</v>
      </c>
      <c r="U874" t="str">
        <f t="shared" si="39"/>
        <v>A0F928</v>
      </c>
      <c r="V874">
        <v>0</v>
      </c>
      <c r="W874">
        <v>0</v>
      </c>
      <c r="X874">
        <v>2</v>
      </c>
      <c r="Z874">
        <v>0</v>
      </c>
      <c r="AA874">
        <v>9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2</v>
      </c>
      <c r="AH874">
        <v>1</v>
      </c>
      <c r="AI874" t="s">
        <v>538</v>
      </c>
      <c r="AJ874">
        <v>35.815193999999998</v>
      </c>
      <c r="AK874" t="s">
        <v>539</v>
      </c>
      <c r="AL874">
        <v>-83.953227999999996</v>
      </c>
      <c r="AM874">
        <v>25</v>
      </c>
      <c r="AN874">
        <v>1550</v>
      </c>
      <c r="AO874" t="s">
        <v>118</v>
      </c>
      <c r="AP874">
        <v>59</v>
      </c>
      <c r="AQ874">
        <v>114</v>
      </c>
      <c r="AR874">
        <v>-128</v>
      </c>
      <c r="AZ874">
        <v>300</v>
      </c>
      <c r="BA874">
        <v>1</v>
      </c>
      <c r="BB874" t="str">
        <f t="shared" si="41"/>
        <v xml:space="preserve">N162AM  </v>
      </c>
      <c r="BC874">
        <v>1</v>
      </c>
      <c r="BE874">
        <v>0</v>
      </c>
      <c r="BF874">
        <v>0</v>
      </c>
      <c r="BG874">
        <v>0</v>
      </c>
      <c r="BH874">
        <v>1800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>"14:46:25.412"</f>
        <v>14:46:25.412</v>
      </c>
      <c r="CJ874">
        <v>3</v>
      </c>
      <c r="CK874">
        <v>2</v>
      </c>
      <c r="CL874">
        <v>0</v>
      </c>
      <c r="CM874">
        <v>2</v>
      </c>
      <c r="CN874">
        <v>0</v>
      </c>
      <c r="CO874">
        <v>7</v>
      </c>
      <c r="CP874" t="s">
        <v>119</v>
      </c>
      <c r="CQ874">
        <v>232</v>
      </c>
      <c r="CR874">
        <v>1</v>
      </c>
      <c r="CW874">
        <v>15174449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1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"12/16/2021 14:46:25.639"</f>
        <v>12/16/2021 14:46:25.639</v>
      </c>
      <c r="C875" t="str">
        <f t="shared" si="40"/>
        <v>FFDFD3C0</v>
      </c>
      <c r="D875" t="s">
        <v>124</v>
      </c>
      <c r="E875">
        <v>5</v>
      </c>
      <c r="F875">
        <v>1005</v>
      </c>
      <c r="G875" t="s">
        <v>114</v>
      </c>
      <c r="J875" t="s">
        <v>125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"14:46:25.406"</f>
        <v>14:46:25.406</v>
      </c>
      <c r="T875" t="str">
        <f>"14:46:24.906"</f>
        <v>14:46:24.906</v>
      </c>
      <c r="U875" t="str">
        <f t="shared" si="39"/>
        <v>A0F928</v>
      </c>
      <c r="V875">
        <v>0</v>
      </c>
      <c r="W875">
        <v>0</v>
      </c>
      <c r="X875">
        <v>2</v>
      </c>
      <c r="Z875">
        <v>0</v>
      </c>
      <c r="AA875">
        <v>9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2</v>
      </c>
      <c r="AH875">
        <v>1</v>
      </c>
      <c r="AI875" t="s">
        <v>538</v>
      </c>
      <c r="AJ875">
        <v>35.815193999999998</v>
      </c>
      <c r="AK875" t="s">
        <v>539</v>
      </c>
      <c r="AL875">
        <v>-83.953227999999996</v>
      </c>
      <c r="AM875">
        <v>25</v>
      </c>
      <c r="AN875">
        <v>1550</v>
      </c>
      <c r="AO875" t="s">
        <v>118</v>
      </c>
      <c r="AP875">
        <v>59</v>
      </c>
      <c r="AQ875">
        <v>114</v>
      </c>
      <c r="AR875">
        <v>-128</v>
      </c>
      <c r="AZ875">
        <v>300</v>
      </c>
      <c r="BA875">
        <v>1</v>
      </c>
      <c r="BB875" t="str">
        <f t="shared" si="41"/>
        <v xml:space="preserve">N162AM  </v>
      </c>
      <c r="BC875">
        <v>1</v>
      </c>
      <c r="BE875">
        <v>0</v>
      </c>
      <c r="BF875">
        <v>0</v>
      </c>
      <c r="BG875">
        <v>0</v>
      </c>
      <c r="BH875">
        <v>1800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>"14:46:25.412"</f>
        <v>14:46:25.412</v>
      </c>
      <c r="CJ875">
        <v>3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119</v>
      </c>
      <c r="CQ875">
        <v>232</v>
      </c>
      <c r="CR875">
        <v>1</v>
      </c>
      <c r="CW875">
        <v>15174449</v>
      </c>
      <c r="CY875">
        <v>1</v>
      </c>
      <c r="CZ875">
        <v>0</v>
      </c>
      <c r="DA875">
        <v>1</v>
      </c>
      <c r="DB875">
        <v>0</v>
      </c>
      <c r="DC875">
        <v>0</v>
      </c>
      <c r="DD875">
        <v>1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"12/16/2021 14:46:25.639"</f>
        <v>12/16/2021 14:46:25.639</v>
      </c>
      <c r="C876" t="str">
        <f t="shared" si="40"/>
        <v>FFDFD3C0</v>
      </c>
      <c r="D876" t="s">
        <v>124</v>
      </c>
      <c r="E876">
        <v>10</v>
      </c>
      <c r="F876">
        <v>1010</v>
      </c>
      <c r="G876" t="s">
        <v>130</v>
      </c>
      <c r="J876" t="s">
        <v>125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"14:46:25.406"</f>
        <v>14:46:25.406</v>
      </c>
      <c r="T876" t="str">
        <f>"14:46:24.906"</f>
        <v>14:46:24.906</v>
      </c>
      <c r="U876" t="str">
        <f t="shared" si="39"/>
        <v>A0F928</v>
      </c>
      <c r="V876">
        <v>0</v>
      </c>
      <c r="W876">
        <v>0</v>
      </c>
      <c r="X876">
        <v>2</v>
      </c>
      <c r="Z876">
        <v>0</v>
      </c>
      <c r="AA876">
        <v>9</v>
      </c>
      <c r="AB876">
        <v>3</v>
      </c>
      <c r="AC876">
        <v>0</v>
      </c>
      <c r="AD876">
        <v>10</v>
      </c>
      <c r="AE876">
        <v>0</v>
      </c>
      <c r="AF876">
        <v>0</v>
      </c>
      <c r="AG876">
        <v>2</v>
      </c>
      <c r="AH876">
        <v>1</v>
      </c>
      <c r="AI876" t="s">
        <v>538</v>
      </c>
      <c r="AJ876">
        <v>35.815193999999998</v>
      </c>
      <c r="AK876" t="s">
        <v>539</v>
      </c>
      <c r="AL876">
        <v>-83.953227999999996</v>
      </c>
      <c r="AM876">
        <v>25</v>
      </c>
      <c r="AN876">
        <v>1550</v>
      </c>
      <c r="AO876" t="s">
        <v>118</v>
      </c>
      <c r="AP876">
        <v>59</v>
      </c>
      <c r="AQ876">
        <v>114</v>
      </c>
      <c r="AR876">
        <v>-128</v>
      </c>
      <c r="AZ876">
        <v>300</v>
      </c>
      <c r="BA876">
        <v>1</v>
      </c>
      <c r="BB876" t="str">
        <f t="shared" si="41"/>
        <v xml:space="preserve">N162AM  </v>
      </c>
      <c r="BC876">
        <v>1</v>
      </c>
      <c r="BE876">
        <v>0</v>
      </c>
      <c r="BF876">
        <v>0</v>
      </c>
      <c r="BG876">
        <v>0</v>
      </c>
      <c r="BH876">
        <v>1800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>"14:46:25.412"</f>
        <v>14:46:25.412</v>
      </c>
      <c r="CJ876">
        <v>2</v>
      </c>
      <c r="CK876">
        <v>2</v>
      </c>
      <c r="CL876">
        <v>0</v>
      </c>
      <c r="CM876">
        <v>2</v>
      </c>
      <c r="CN876">
        <v>0</v>
      </c>
      <c r="CO876">
        <v>7</v>
      </c>
      <c r="CP876" t="s">
        <v>119</v>
      </c>
      <c r="CQ876">
        <v>232</v>
      </c>
      <c r="CR876">
        <v>1</v>
      </c>
      <c r="CW876">
        <v>15174449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1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"12/16/2021 14:46:26.592"</f>
        <v>12/16/2021 14:46:26.592</v>
      </c>
      <c r="C877" t="str">
        <f t="shared" si="40"/>
        <v>FFDFD3C0</v>
      </c>
      <c r="D877" t="s">
        <v>133</v>
      </c>
      <c r="E877">
        <v>44</v>
      </c>
      <c r="H877">
        <v>131</v>
      </c>
      <c r="I877" t="s">
        <v>134</v>
      </c>
      <c r="J877" t="s">
        <v>135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"14:46:26.391"</f>
        <v>14:46:26.391</v>
      </c>
      <c r="T877" t="str">
        <f>"14:46:25.491"</f>
        <v>14:46:25.491</v>
      </c>
      <c r="U877" t="str">
        <f t="shared" si="39"/>
        <v>A0F928</v>
      </c>
      <c r="V877">
        <v>0</v>
      </c>
      <c r="W877">
        <v>0</v>
      </c>
      <c r="X877">
        <v>2</v>
      </c>
      <c r="Z877">
        <v>0</v>
      </c>
      <c r="AA877">
        <v>9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1</v>
      </c>
      <c r="AI877" t="s">
        <v>540</v>
      </c>
      <c r="AJ877">
        <v>35.815752000000003</v>
      </c>
      <c r="AK877" t="s">
        <v>373</v>
      </c>
      <c r="AL877">
        <v>-83.952820000000003</v>
      </c>
      <c r="AM877">
        <v>25</v>
      </c>
      <c r="AN877">
        <v>1550</v>
      </c>
      <c r="AO877" t="s">
        <v>118</v>
      </c>
      <c r="AP877">
        <v>61</v>
      </c>
      <c r="AQ877">
        <v>113</v>
      </c>
      <c r="AR877">
        <v>-128</v>
      </c>
      <c r="AZ877">
        <v>300</v>
      </c>
      <c r="BA877">
        <v>1</v>
      </c>
      <c r="BB877" t="str">
        <f t="shared" si="41"/>
        <v xml:space="preserve">N162AM  </v>
      </c>
      <c r="BC877">
        <v>1</v>
      </c>
      <c r="BE877">
        <v>0</v>
      </c>
      <c r="BF877">
        <v>0</v>
      </c>
      <c r="BG877">
        <v>0</v>
      </c>
      <c r="BH877">
        <v>1800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>"14:46:26.395"</f>
        <v>14:46:26.395</v>
      </c>
      <c r="CJ877">
        <v>3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119</v>
      </c>
      <c r="CQ877">
        <v>232</v>
      </c>
      <c r="CR877">
        <v>2</v>
      </c>
      <c r="CW877">
        <v>6368249</v>
      </c>
      <c r="CY877">
        <v>1</v>
      </c>
      <c r="CZ877">
        <v>0</v>
      </c>
      <c r="DA877">
        <v>0</v>
      </c>
      <c r="DB877">
        <v>0</v>
      </c>
      <c r="DC877">
        <v>0</v>
      </c>
      <c r="DD877">
        <v>1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"12/16/2021 14:46:26.592"</f>
        <v>12/16/2021 14:46:26.592</v>
      </c>
      <c r="C878" t="str">
        <f t="shared" si="40"/>
        <v>FFDFD3C0</v>
      </c>
      <c r="D878" t="s">
        <v>124</v>
      </c>
      <c r="E878">
        <v>5</v>
      </c>
      <c r="F878">
        <v>1005</v>
      </c>
      <c r="G878" t="s">
        <v>114</v>
      </c>
      <c r="J878" t="s">
        <v>125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"14:46:26.391"</f>
        <v>14:46:26.391</v>
      </c>
      <c r="T878" t="str">
        <f>"14:46:25.491"</f>
        <v>14:46:25.491</v>
      </c>
      <c r="U878" t="str">
        <f t="shared" si="39"/>
        <v>A0F928</v>
      </c>
      <c r="V878">
        <v>0</v>
      </c>
      <c r="W878">
        <v>0</v>
      </c>
      <c r="X878">
        <v>2</v>
      </c>
      <c r="Z878">
        <v>0</v>
      </c>
      <c r="AA878">
        <v>9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1</v>
      </c>
      <c r="AI878" t="s">
        <v>540</v>
      </c>
      <c r="AJ878">
        <v>35.815752000000003</v>
      </c>
      <c r="AK878" t="s">
        <v>373</v>
      </c>
      <c r="AL878">
        <v>-83.952820000000003</v>
      </c>
      <c r="AM878">
        <v>25</v>
      </c>
      <c r="AN878">
        <v>1550</v>
      </c>
      <c r="AO878" t="s">
        <v>118</v>
      </c>
      <c r="AP878">
        <v>61</v>
      </c>
      <c r="AQ878">
        <v>113</v>
      </c>
      <c r="AR878">
        <v>-128</v>
      </c>
      <c r="AZ878">
        <v>300</v>
      </c>
      <c r="BA878">
        <v>1</v>
      </c>
      <c r="BB878" t="str">
        <f t="shared" si="41"/>
        <v xml:space="preserve">N162AM  </v>
      </c>
      <c r="BC878">
        <v>1</v>
      </c>
      <c r="BE878">
        <v>0</v>
      </c>
      <c r="BF878">
        <v>0</v>
      </c>
      <c r="BG878">
        <v>0</v>
      </c>
      <c r="BH878">
        <v>1800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>"14:46:26.395"</f>
        <v>14:46:26.395</v>
      </c>
      <c r="CJ878">
        <v>3</v>
      </c>
      <c r="CK878">
        <v>2</v>
      </c>
      <c r="CL878">
        <v>0</v>
      </c>
      <c r="CM878">
        <v>2</v>
      </c>
      <c r="CN878">
        <v>0</v>
      </c>
      <c r="CO878">
        <v>7</v>
      </c>
      <c r="CP878" t="s">
        <v>119</v>
      </c>
      <c r="CQ878">
        <v>232</v>
      </c>
      <c r="CR878">
        <v>2</v>
      </c>
      <c r="CW878">
        <v>6368249</v>
      </c>
      <c r="CY878">
        <v>1</v>
      </c>
      <c r="CZ878">
        <v>0</v>
      </c>
      <c r="DA878">
        <v>1</v>
      </c>
      <c r="DB878">
        <v>0</v>
      </c>
      <c r="DC878">
        <v>0</v>
      </c>
      <c r="DD878">
        <v>1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"12/16/2021 14:46:26.592"</f>
        <v>12/16/2021 14:46:26.592</v>
      </c>
      <c r="C879" t="str">
        <f t="shared" si="40"/>
        <v>FFDFD3C0</v>
      </c>
      <c r="D879" t="s">
        <v>124</v>
      </c>
      <c r="E879">
        <v>10</v>
      </c>
      <c r="F879">
        <v>1010</v>
      </c>
      <c r="G879" t="s">
        <v>130</v>
      </c>
      <c r="J879" t="s">
        <v>125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"14:46:26.391"</f>
        <v>14:46:26.391</v>
      </c>
      <c r="T879" t="str">
        <f>"14:46:25.491"</f>
        <v>14:46:25.491</v>
      </c>
      <c r="U879" t="str">
        <f t="shared" si="39"/>
        <v>A0F928</v>
      </c>
      <c r="V879">
        <v>0</v>
      </c>
      <c r="W879">
        <v>0</v>
      </c>
      <c r="X879">
        <v>2</v>
      </c>
      <c r="Z879">
        <v>0</v>
      </c>
      <c r="AA879">
        <v>9</v>
      </c>
      <c r="AB879">
        <v>3</v>
      </c>
      <c r="AC879">
        <v>0</v>
      </c>
      <c r="AD879">
        <v>10</v>
      </c>
      <c r="AE879">
        <v>0</v>
      </c>
      <c r="AF879">
        <v>0</v>
      </c>
      <c r="AG879">
        <v>2</v>
      </c>
      <c r="AH879">
        <v>1</v>
      </c>
      <c r="AI879" t="s">
        <v>540</v>
      </c>
      <c r="AJ879">
        <v>35.815752000000003</v>
      </c>
      <c r="AK879" t="s">
        <v>373</v>
      </c>
      <c r="AL879">
        <v>-83.952820000000003</v>
      </c>
      <c r="AM879">
        <v>25</v>
      </c>
      <c r="AN879">
        <v>1550</v>
      </c>
      <c r="AO879" t="s">
        <v>118</v>
      </c>
      <c r="AP879">
        <v>61</v>
      </c>
      <c r="AQ879">
        <v>113</v>
      </c>
      <c r="AR879">
        <v>-128</v>
      </c>
      <c r="AZ879">
        <v>300</v>
      </c>
      <c r="BA879">
        <v>1</v>
      </c>
      <c r="BB879" t="str">
        <f t="shared" si="41"/>
        <v xml:space="preserve">N162AM  </v>
      </c>
      <c r="BC879">
        <v>1</v>
      </c>
      <c r="BE879">
        <v>0</v>
      </c>
      <c r="BF879">
        <v>0</v>
      </c>
      <c r="BG879">
        <v>0</v>
      </c>
      <c r="BH879">
        <v>1800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>"14:46:26.395"</f>
        <v>14:46:26.395</v>
      </c>
      <c r="CJ879">
        <v>2</v>
      </c>
      <c r="CK879">
        <v>2</v>
      </c>
      <c r="CL879">
        <v>0</v>
      </c>
      <c r="CM879">
        <v>2</v>
      </c>
      <c r="CN879">
        <v>0</v>
      </c>
      <c r="CO879">
        <v>7</v>
      </c>
      <c r="CP879" t="s">
        <v>119</v>
      </c>
      <c r="CQ879">
        <v>232</v>
      </c>
      <c r="CR879">
        <v>2</v>
      </c>
      <c r="CW879">
        <v>6368249</v>
      </c>
      <c r="CY879">
        <v>1</v>
      </c>
      <c r="CZ879">
        <v>0</v>
      </c>
      <c r="DA879">
        <v>1</v>
      </c>
      <c r="DB879">
        <v>0</v>
      </c>
      <c r="DC879">
        <v>0</v>
      </c>
      <c r="DD879">
        <v>1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"12/16/2021 14:46:26.670"</f>
        <v>12/16/2021 14:46:26.670</v>
      </c>
      <c r="C880" t="str">
        <f t="shared" si="40"/>
        <v>FFDFD3C0</v>
      </c>
      <c r="D880" t="s">
        <v>113</v>
      </c>
      <c r="E880">
        <v>8</v>
      </c>
      <c r="H880">
        <v>176</v>
      </c>
      <c r="I880" t="s">
        <v>114</v>
      </c>
      <c r="J880" t="s">
        <v>115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"14:46:26.391"</f>
        <v>14:46:26.391</v>
      </c>
      <c r="T880" t="str">
        <f>"14:46:25.491"</f>
        <v>14:46:25.491</v>
      </c>
      <c r="U880" t="str">
        <f t="shared" si="39"/>
        <v>A0F928</v>
      </c>
      <c r="V880">
        <v>0</v>
      </c>
      <c r="W880">
        <v>0</v>
      </c>
      <c r="X880">
        <v>2</v>
      </c>
      <c r="Z880">
        <v>0</v>
      </c>
      <c r="AA880">
        <v>9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1</v>
      </c>
      <c r="AI880" t="s">
        <v>540</v>
      </c>
      <c r="AJ880">
        <v>35.815752000000003</v>
      </c>
      <c r="AK880" t="s">
        <v>373</v>
      </c>
      <c r="AL880">
        <v>-83.952820000000003</v>
      </c>
      <c r="AM880">
        <v>25</v>
      </c>
      <c r="AN880">
        <v>1550</v>
      </c>
      <c r="AO880" t="s">
        <v>118</v>
      </c>
      <c r="AP880">
        <v>61</v>
      </c>
      <c r="AQ880">
        <v>113</v>
      </c>
      <c r="AR880">
        <v>-128</v>
      </c>
      <c r="AZ880">
        <v>300</v>
      </c>
      <c r="BA880">
        <v>1</v>
      </c>
      <c r="BB880" t="str">
        <f t="shared" si="41"/>
        <v xml:space="preserve">N162AM  </v>
      </c>
      <c r="BC880">
        <v>1</v>
      </c>
      <c r="BE880">
        <v>0</v>
      </c>
      <c r="BF880">
        <v>0</v>
      </c>
      <c r="BG880">
        <v>0</v>
      </c>
      <c r="BH880">
        <v>1800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>"14:46:26.395"</f>
        <v>14:46:26.395</v>
      </c>
      <c r="CJ880">
        <v>3</v>
      </c>
      <c r="CK880">
        <v>2</v>
      </c>
      <c r="CL880">
        <v>0</v>
      </c>
      <c r="CM880">
        <v>2</v>
      </c>
      <c r="CN880">
        <v>0</v>
      </c>
      <c r="CO880">
        <v>7</v>
      </c>
      <c r="CP880" t="s">
        <v>119</v>
      </c>
      <c r="CQ880">
        <v>232</v>
      </c>
      <c r="CR880">
        <v>2</v>
      </c>
      <c r="CW880">
        <v>6368249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1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"12/16/2021 14:46:27.750"</f>
        <v>12/16/2021 14:46:27.750</v>
      </c>
      <c r="C881" t="str">
        <f t="shared" si="40"/>
        <v>FFDFD3C0</v>
      </c>
      <c r="D881" t="s">
        <v>124</v>
      </c>
      <c r="E881">
        <v>5</v>
      </c>
      <c r="F881">
        <v>1005</v>
      </c>
      <c r="G881" t="s">
        <v>114</v>
      </c>
      <c r="J881" t="s">
        <v>125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"14:46:27.539"</f>
        <v>14:46:27.539</v>
      </c>
      <c r="T881" t="str">
        <f>"14:46:27.039"</f>
        <v>14:46:27.039</v>
      </c>
      <c r="U881" t="str">
        <f t="shared" si="39"/>
        <v>A0F928</v>
      </c>
      <c r="V881">
        <v>0</v>
      </c>
      <c r="W881">
        <v>0</v>
      </c>
      <c r="X881">
        <v>2</v>
      </c>
      <c r="Z881">
        <v>0</v>
      </c>
      <c r="AA881">
        <v>9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2</v>
      </c>
      <c r="AH881">
        <v>1</v>
      </c>
      <c r="AI881" t="s">
        <v>541</v>
      </c>
      <c r="AJ881">
        <v>35.816267000000003</v>
      </c>
      <c r="AK881" t="s">
        <v>542</v>
      </c>
      <c r="AL881">
        <v>-83.952370000000002</v>
      </c>
      <c r="AM881">
        <v>25</v>
      </c>
      <c r="AN881">
        <v>1550</v>
      </c>
      <c r="AO881" t="s">
        <v>118</v>
      </c>
      <c r="AP881">
        <v>71</v>
      </c>
      <c r="AQ881">
        <v>108</v>
      </c>
      <c r="AR881">
        <v>-256</v>
      </c>
      <c r="AZ881">
        <v>300</v>
      </c>
      <c r="BA881">
        <v>1</v>
      </c>
      <c r="BB881" t="str">
        <f t="shared" si="41"/>
        <v xml:space="preserve">N162AM  </v>
      </c>
      <c r="BC881">
        <v>1</v>
      </c>
      <c r="BE881">
        <v>0</v>
      </c>
      <c r="BF881">
        <v>0</v>
      </c>
      <c r="BG881">
        <v>0</v>
      </c>
      <c r="BH881">
        <v>1800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>"14:46:27.544"</f>
        <v>14:46:27.544</v>
      </c>
      <c r="CJ881">
        <v>3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119</v>
      </c>
      <c r="CQ881">
        <v>232</v>
      </c>
      <c r="CR881">
        <v>2</v>
      </c>
      <c r="CW881">
        <v>6370024</v>
      </c>
      <c r="CY881">
        <v>1</v>
      </c>
      <c r="CZ881">
        <v>0</v>
      </c>
      <c r="DA881">
        <v>0</v>
      </c>
      <c r="DB881">
        <v>0</v>
      </c>
      <c r="DC881">
        <v>0</v>
      </c>
      <c r="DD881">
        <v>1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"12/16/2021 14:46:27.750"</f>
        <v>12/16/2021 14:46:27.750</v>
      </c>
      <c r="C882" t="str">
        <f t="shared" si="40"/>
        <v>FFDFD3C0</v>
      </c>
      <c r="D882" t="s">
        <v>124</v>
      </c>
      <c r="E882">
        <v>10</v>
      </c>
      <c r="F882">
        <v>1010</v>
      </c>
      <c r="G882" t="s">
        <v>130</v>
      </c>
      <c r="J882" t="s">
        <v>125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"14:46:27.539"</f>
        <v>14:46:27.539</v>
      </c>
      <c r="T882" t="str">
        <f>"14:46:27.039"</f>
        <v>14:46:27.039</v>
      </c>
      <c r="U882" t="str">
        <f t="shared" si="39"/>
        <v>A0F928</v>
      </c>
      <c r="V882">
        <v>0</v>
      </c>
      <c r="W882">
        <v>0</v>
      </c>
      <c r="X882">
        <v>2</v>
      </c>
      <c r="Z882">
        <v>0</v>
      </c>
      <c r="AA882">
        <v>9</v>
      </c>
      <c r="AB882">
        <v>3</v>
      </c>
      <c r="AC882">
        <v>0</v>
      </c>
      <c r="AD882">
        <v>10</v>
      </c>
      <c r="AE882">
        <v>0</v>
      </c>
      <c r="AF882">
        <v>0</v>
      </c>
      <c r="AG882">
        <v>2</v>
      </c>
      <c r="AH882">
        <v>1</v>
      </c>
      <c r="AI882" t="s">
        <v>541</v>
      </c>
      <c r="AJ882">
        <v>35.816267000000003</v>
      </c>
      <c r="AK882" t="s">
        <v>542</v>
      </c>
      <c r="AL882">
        <v>-83.952370000000002</v>
      </c>
      <c r="AM882">
        <v>25</v>
      </c>
      <c r="AN882">
        <v>1550</v>
      </c>
      <c r="AO882" t="s">
        <v>118</v>
      </c>
      <c r="AP882">
        <v>71</v>
      </c>
      <c r="AQ882">
        <v>108</v>
      </c>
      <c r="AR882">
        <v>-256</v>
      </c>
      <c r="AZ882">
        <v>300</v>
      </c>
      <c r="BA882">
        <v>1</v>
      </c>
      <c r="BB882" t="str">
        <f t="shared" si="41"/>
        <v xml:space="preserve">N162AM  </v>
      </c>
      <c r="BC882">
        <v>1</v>
      </c>
      <c r="BE882">
        <v>0</v>
      </c>
      <c r="BF882">
        <v>0</v>
      </c>
      <c r="BG882">
        <v>0</v>
      </c>
      <c r="BH882">
        <v>1800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>"14:46:27.544"</f>
        <v>14:46:27.544</v>
      </c>
      <c r="CJ882">
        <v>2</v>
      </c>
      <c r="CK882">
        <v>2</v>
      </c>
      <c r="CL882">
        <v>0</v>
      </c>
      <c r="CM882">
        <v>2</v>
      </c>
      <c r="CN882">
        <v>0</v>
      </c>
      <c r="CO882">
        <v>7</v>
      </c>
      <c r="CP882" t="s">
        <v>119</v>
      </c>
      <c r="CQ882">
        <v>232</v>
      </c>
      <c r="CR882">
        <v>2</v>
      </c>
      <c r="CW882">
        <v>6370024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1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"12/16/2021 14:46:27.750"</f>
        <v>12/16/2021 14:46:27.750</v>
      </c>
      <c r="C883" t="str">
        <f t="shared" si="40"/>
        <v>FFDFD3C0</v>
      </c>
      <c r="D883" t="s">
        <v>113</v>
      </c>
      <c r="E883">
        <v>8</v>
      </c>
      <c r="H883">
        <v>176</v>
      </c>
      <c r="I883" t="s">
        <v>114</v>
      </c>
      <c r="J883" t="s">
        <v>115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"14:46:27.539"</f>
        <v>14:46:27.539</v>
      </c>
      <c r="T883" t="str">
        <f>"14:46:27.039"</f>
        <v>14:46:27.039</v>
      </c>
      <c r="U883" t="str">
        <f t="shared" si="39"/>
        <v>A0F928</v>
      </c>
      <c r="V883">
        <v>0</v>
      </c>
      <c r="W883">
        <v>0</v>
      </c>
      <c r="X883">
        <v>2</v>
      </c>
      <c r="Z883">
        <v>0</v>
      </c>
      <c r="AA883">
        <v>9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1</v>
      </c>
      <c r="AI883" t="s">
        <v>541</v>
      </c>
      <c r="AJ883">
        <v>35.816267000000003</v>
      </c>
      <c r="AK883" t="s">
        <v>542</v>
      </c>
      <c r="AL883">
        <v>-83.952370000000002</v>
      </c>
      <c r="AM883">
        <v>25</v>
      </c>
      <c r="AN883">
        <v>1550</v>
      </c>
      <c r="AO883" t="s">
        <v>118</v>
      </c>
      <c r="AP883">
        <v>71</v>
      </c>
      <c r="AQ883">
        <v>108</v>
      </c>
      <c r="AR883">
        <v>-256</v>
      </c>
      <c r="AZ883">
        <v>300</v>
      </c>
      <c r="BA883">
        <v>1</v>
      </c>
      <c r="BB883" t="str">
        <f t="shared" si="41"/>
        <v xml:space="preserve">N162AM  </v>
      </c>
      <c r="BC883">
        <v>1</v>
      </c>
      <c r="BE883">
        <v>0</v>
      </c>
      <c r="BF883">
        <v>0</v>
      </c>
      <c r="BG883">
        <v>0</v>
      </c>
      <c r="BH883">
        <v>1800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>"14:46:27.544"</f>
        <v>14:46:27.544</v>
      </c>
      <c r="CJ883">
        <v>3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119</v>
      </c>
      <c r="CQ883">
        <v>232</v>
      </c>
      <c r="CR883">
        <v>2</v>
      </c>
      <c r="CW883">
        <v>6370024</v>
      </c>
      <c r="CY883">
        <v>1</v>
      </c>
      <c r="CZ883">
        <v>0</v>
      </c>
      <c r="DA883">
        <v>1</v>
      </c>
      <c r="DB883">
        <v>0</v>
      </c>
      <c r="DC883">
        <v>0</v>
      </c>
      <c r="DD883">
        <v>1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"12/16/2021 14:46:27.750"</f>
        <v>12/16/2021 14:46:27.750</v>
      </c>
      <c r="C884" t="str">
        <f t="shared" si="40"/>
        <v>FFDFD3C0</v>
      </c>
      <c r="D884" t="s">
        <v>133</v>
      </c>
      <c r="E884">
        <v>44</v>
      </c>
      <c r="H884">
        <v>131</v>
      </c>
      <c r="I884" t="s">
        <v>134</v>
      </c>
      <c r="J884" t="s">
        <v>135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"14:46:27.539"</f>
        <v>14:46:27.539</v>
      </c>
      <c r="T884" t="str">
        <f>"14:46:27.039"</f>
        <v>14:46:27.039</v>
      </c>
      <c r="U884" t="str">
        <f t="shared" si="39"/>
        <v>A0F928</v>
      </c>
      <c r="V884">
        <v>0</v>
      </c>
      <c r="W884">
        <v>0</v>
      </c>
      <c r="X884">
        <v>2</v>
      </c>
      <c r="Z884">
        <v>0</v>
      </c>
      <c r="AA884">
        <v>9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1</v>
      </c>
      <c r="AI884" t="s">
        <v>541</v>
      </c>
      <c r="AJ884">
        <v>35.816267000000003</v>
      </c>
      <c r="AK884" t="s">
        <v>542</v>
      </c>
      <c r="AL884">
        <v>-83.952370000000002</v>
      </c>
      <c r="AM884">
        <v>25</v>
      </c>
      <c r="AN884">
        <v>1550</v>
      </c>
      <c r="AO884" t="s">
        <v>118</v>
      </c>
      <c r="AP884">
        <v>71</v>
      </c>
      <c r="AQ884">
        <v>108</v>
      </c>
      <c r="AR884">
        <v>-256</v>
      </c>
      <c r="AZ884">
        <v>300</v>
      </c>
      <c r="BA884">
        <v>1</v>
      </c>
      <c r="BB884" t="str">
        <f t="shared" si="41"/>
        <v xml:space="preserve">N162AM  </v>
      </c>
      <c r="BC884">
        <v>1</v>
      </c>
      <c r="BE884">
        <v>0</v>
      </c>
      <c r="BF884">
        <v>0</v>
      </c>
      <c r="BG884">
        <v>0</v>
      </c>
      <c r="BH884">
        <v>1800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>"14:46:27.544"</f>
        <v>14:46:27.544</v>
      </c>
      <c r="CJ884">
        <v>3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119</v>
      </c>
      <c r="CQ884">
        <v>232</v>
      </c>
      <c r="CR884">
        <v>2</v>
      </c>
      <c r="CW884">
        <v>6370024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1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"12/16/2021 14:46:28.765"</f>
        <v>12/16/2021 14:46:28.765</v>
      </c>
      <c r="C885" t="str">
        <f t="shared" si="40"/>
        <v>FFDFD3C0</v>
      </c>
      <c r="D885" t="s">
        <v>133</v>
      </c>
      <c r="E885">
        <v>44</v>
      </c>
      <c r="H885">
        <v>131</v>
      </c>
      <c r="I885" t="s">
        <v>134</v>
      </c>
      <c r="J885" t="s">
        <v>135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"14:46:28.555"</f>
        <v>14:46:28.555</v>
      </c>
      <c r="T885" t="str">
        <f>"14:46:28.055"</f>
        <v>14:46:28.055</v>
      </c>
      <c r="U885" t="str">
        <f t="shared" si="39"/>
        <v>A0F928</v>
      </c>
      <c r="V885">
        <v>0</v>
      </c>
      <c r="W885">
        <v>0</v>
      </c>
      <c r="X885">
        <v>2</v>
      </c>
      <c r="Z885">
        <v>0</v>
      </c>
      <c r="AA885">
        <v>9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1</v>
      </c>
      <c r="AI885" t="s">
        <v>543</v>
      </c>
      <c r="AJ885">
        <v>35.816803</v>
      </c>
      <c r="AK885" t="s">
        <v>544</v>
      </c>
      <c r="AL885">
        <v>-83.951919000000004</v>
      </c>
      <c r="AM885">
        <v>25</v>
      </c>
      <c r="AN885">
        <v>1550</v>
      </c>
      <c r="AO885" t="s">
        <v>118</v>
      </c>
      <c r="AP885">
        <v>76</v>
      </c>
      <c r="AQ885">
        <v>104</v>
      </c>
      <c r="AR885">
        <v>-192</v>
      </c>
      <c r="AZ885">
        <v>300</v>
      </c>
      <c r="BA885">
        <v>1</v>
      </c>
      <c r="BB885" t="str">
        <f t="shared" si="41"/>
        <v xml:space="preserve">N162AM  </v>
      </c>
      <c r="BC885">
        <v>1</v>
      </c>
      <c r="BE885">
        <v>0</v>
      </c>
      <c r="BF885">
        <v>0</v>
      </c>
      <c r="BG885">
        <v>0</v>
      </c>
      <c r="BH885">
        <v>1800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>"14:46:28.561"</f>
        <v>14:46:28.561</v>
      </c>
      <c r="CJ885">
        <v>3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119</v>
      </c>
      <c r="CQ885">
        <v>232</v>
      </c>
      <c r="CR885">
        <v>1</v>
      </c>
      <c r="CW885">
        <v>15179260</v>
      </c>
      <c r="CY885">
        <v>1</v>
      </c>
      <c r="CZ885">
        <v>0</v>
      </c>
      <c r="DA885">
        <v>0</v>
      </c>
      <c r="DB885">
        <v>0</v>
      </c>
      <c r="DC885">
        <v>0</v>
      </c>
      <c r="DD885">
        <v>1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"12/16/2021 14:46:28.812"</f>
        <v>12/16/2021 14:46:28.812</v>
      </c>
      <c r="C886" t="str">
        <f t="shared" si="40"/>
        <v>FFDFD3C0</v>
      </c>
      <c r="D886" t="s">
        <v>124</v>
      </c>
      <c r="E886">
        <v>5</v>
      </c>
      <c r="F886">
        <v>1005</v>
      </c>
      <c r="G886" t="s">
        <v>114</v>
      </c>
      <c r="J886" t="s">
        <v>125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"14:46:28.555"</f>
        <v>14:46:28.555</v>
      </c>
      <c r="T886" t="str">
        <f>"14:46:28.055"</f>
        <v>14:46:28.055</v>
      </c>
      <c r="U886" t="str">
        <f t="shared" si="39"/>
        <v>A0F928</v>
      </c>
      <c r="V886">
        <v>0</v>
      </c>
      <c r="W886">
        <v>0</v>
      </c>
      <c r="X886">
        <v>2</v>
      </c>
      <c r="Z886">
        <v>0</v>
      </c>
      <c r="AA886">
        <v>9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1</v>
      </c>
      <c r="AI886" t="s">
        <v>543</v>
      </c>
      <c r="AJ886">
        <v>35.816803</v>
      </c>
      <c r="AK886" t="s">
        <v>544</v>
      </c>
      <c r="AL886">
        <v>-83.951919000000004</v>
      </c>
      <c r="AM886">
        <v>25</v>
      </c>
      <c r="AN886">
        <v>1550</v>
      </c>
      <c r="AO886" t="s">
        <v>118</v>
      </c>
      <c r="AP886">
        <v>76</v>
      </c>
      <c r="AQ886">
        <v>104</v>
      </c>
      <c r="AR886">
        <v>-192</v>
      </c>
      <c r="AZ886">
        <v>300</v>
      </c>
      <c r="BA886">
        <v>1</v>
      </c>
      <c r="BB886" t="str">
        <f t="shared" si="41"/>
        <v xml:space="preserve">N162AM  </v>
      </c>
      <c r="BC886">
        <v>1</v>
      </c>
      <c r="BE886">
        <v>0</v>
      </c>
      <c r="BF886">
        <v>0</v>
      </c>
      <c r="BG886">
        <v>0</v>
      </c>
      <c r="BH886">
        <v>1800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>"14:46:28.561"</f>
        <v>14:46:28.561</v>
      </c>
      <c r="CJ886">
        <v>3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232</v>
      </c>
      <c r="CR886">
        <v>1</v>
      </c>
      <c r="CW886">
        <v>15179260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1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"12/16/2021 14:46:28.812"</f>
        <v>12/16/2021 14:46:28.812</v>
      </c>
      <c r="C887" t="str">
        <f t="shared" si="40"/>
        <v>FFDFD3C0</v>
      </c>
      <c r="D887" t="s">
        <v>124</v>
      </c>
      <c r="E887">
        <v>10</v>
      </c>
      <c r="F887">
        <v>1010</v>
      </c>
      <c r="G887" t="s">
        <v>130</v>
      </c>
      <c r="J887" t="s">
        <v>125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"14:46:28.555"</f>
        <v>14:46:28.555</v>
      </c>
      <c r="T887" t="str">
        <f>"14:46:28.055"</f>
        <v>14:46:28.055</v>
      </c>
      <c r="U887" t="str">
        <f t="shared" si="39"/>
        <v>A0F928</v>
      </c>
      <c r="V887">
        <v>0</v>
      </c>
      <c r="W887">
        <v>0</v>
      </c>
      <c r="X887">
        <v>2</v>
      </c>
      <c r="Z887">
        <v>0</v>
      </c>
      <c r="AA887">
        <v>9</v>
      </c>
      <c r="AB887">
        <v>3</v>
      </c>
      <c r="AC887">
        <v>0</v>
      </c>
      <c r="AD887">
        <v>10</v>
      </c>
      <c r="AE887">
        <v>0</v>
      </c>
      <c r="AF887">
        <v>0</v>
      </c>
      <c r="AG887">
        <v>2</v>
      </c>
      <c r="AH887">
        <v>1</v>
      </c>
      <c r="AI887" t="s">
        <v>543</v>
      </c>
      <c r="AJ887">
        <v>35.816803</v>
      </c>
      <c r="AK887" t="s">
        <v>544</v>
      </c>
      <c r="AL887">
        <v>-83.951919000000004</v>
      </c>
      <c r="AM887">
        <v>25</v>
      </c>
      <c r="AN887">
        <v>1550</v>
      </c>
      <c r="AO887" t="s">
        <v>118</v>
      </c>
      <c r="AP887">
        <v>76</v>
      </c>
      <c r="AQ887">
        <v>104</v>
      </c>
      <c r="AR887">
        <v>-192</v>
      </c>
      <c r="AZ887">
        <v>300</v>
      </c>
      <c r="BA887">
        <v>1</v>
      </c>
      <c r="BB887" t="str">
        <f t="shared" si="41"/>
        <v xml:space="preserve">N162AM  </v>
      </c>
      <c r="BC887">
        <v>1</v>
      </c>
      <c r="BE887">
        <v>0</v>
      </c>
      <c r="BF887">
        <v>0</v>
      </c>
      <c r="BG887">
        <v>0</v>
      </c>
      <c r="BH887">
        <v>1800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>"14:46:28.561"</f>
        <v>14:46:28.561</v>
      </c>
      <c r="CJ887">
        <v>2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119</v>
      </c>
      <c r="CQ887">
        <v>232</v>
      </c>
      <c r="CR887">
        <v>1</v>
      </c>
      <c r="CW887">
        <v>15179260</v>
      </c>
      <c r="CY887">
        <v>1</v>
      </c>
      <c r="CZ887">
        <v>0</v>
      </c>
      <c r="DA887">
        <v>1</v>
      </c>
      <c r="DB887">
        <v>0</v>
      </c>
      <c r="DC887">
        <v>0</v>
      </c>
      <c r="DD887">
        <v>1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"12/16/2021 14:46:28.812"</f>
        <v>12/16/2021 14:46:28.812</v>
      </c>
      <c r="C888" t="str">
        <f t="shared" si="40"/>
        <v>FFDFD3C0</v>
      </c>
      <c r="D888" t="s">
        <v>113</v>
      </c>
      <c r="E888">
        <v>8</v>
      </c>
      <c r="H888">
        <v>176</v>
      </c>
      <c r="I888" t="s">
        <v>114</v>
      </c>
      <c r="J888" t="s">
        <v>115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"14:46:28.555"</f>
        <v>14:46:28.555</v>
      </c>
      <c r="T888" t="str">
        <f>"14:46:28.055"</f>
        <v>14:46:28.055</v>
      </c>
      <c r="U888" t="str">
        <f t="shared" si="39"/>
        <v>A0F928</v>
      </c>
      <c r="V888">
        <v>0</v>
      </c>
      <c r="W888">
        <v>0</v>
      </c>
      <c r="X888">
        <v>2</v>
      </c>
      <c r="Z888">
        <v>0</v>
      </c>
      <c r="AA888">
        <v>9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2</v>
      </c>
      <c r="AH888">
        <v>1</v>
      </c>
      <c r="AI888" t="s">
        <v>543</v>
      </c>
      <c r="AJ888">
        <v>35.816803</v>
      </c>
      <c r="AK888" t="s">
        <v>544</v>
      </c>
      <c r="AL888">
        <v>-83.951919000000004</v>
      </c>
      <c r="AM888">
        <v>25</v>
      </c>
      <c r="AN888">
        <v>1550</v>
      </c>
      <c r="AO888" t="s">
        <v>118</v>
      </c>
      <c r="AP888">
        <v>76</v>
      </c>
      <c r="AQ888">
        <v>104</v>
      </c>
      <c r="AR888">
        <v>-192</v>
      </c>
      <c r="AZ888">
        <v>300</v>
      </c>
      <c r="BA888">
        <v>1</v>
      </c>
      <c r="BB888" t="str">
        <f t="shared" si="41"/>
        <v xml:space="preserve">N162AM  </v>
      </c>
      <c r="BC888">
        <v>1</v>
      </c>
      <c r="BE888">
        <v>0</v>
      </c>
      <c r="BF888">
        <v>0</v>
      </c>
      <c r="BG888">
        <v>0</v>
      </c>
      <c r="BH888">
        <v>1800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>"14:46:28.561"</f>
        <v>14:46:28.561</v>
      </c>
      <c r="CJ888">
        <v>3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119</v>
      </c>
      <c r="CQ888">
        <v>232</v>
      </c>
      <c r="CR888">
        <v>1</v>
      </c>
      <c r="CW888">
        <v>15179260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1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"12/16/2021 14:46:30.131"</f>
        <v>12/16/2021 14:46:30.131</v>
      </c>
      <c r="C889" t="str">
        <f t="shared" si="40"/>
        <v>FFDFD3C0</v>
      </c>
      <c r="D889" t="s">
        <v>124</v>
      </c>
      <c r="E889">
        <v>10</v>
      </c>
      <c r="F889">
        <v>1010</v>
      </c>
      <c r="G889" t="s">
        <v>130</v>
      </c>
      <c r="J889" t="s">
        <v>125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"14:46:29.906"</f>
        <v>14:46:29.906</v>
      </c>
      <c r="T889" t="str">
        <f>"14:46:29.506"</f>
        <v>14:46:29.506</v>
      </c>
      <c r="U889" t="str">
        <f t="shared" si="39"/>
        <v>A0F928</v>
      </c>
      <c r="V889">
        <v>0</v>
      </c>
      <c r="W889">
        <v>0</v>
      </c>
      <c r="X889">
        <v>2</v>
      </c>
      <c r="Z889">
        <v>0</v>
      </c>
      <c r="AA889">
        <v>9</v>
      </c>
      <c r="AB889">
        <v>3</v>
      </c>
      <c r="AC889">
        <v>0</v>
      </c>
      <c r="AD889">
        <v>10</v>
      </c>
      <c r="AE889">
        <v>0</v>
      </c>
      <c r="AF889">
        <v>0</v>
      </c>
      <c r="AG889">
        <v>2</v>
      </c>
      <c r="AH889">
        <v>1</v>
      </c>
      <c r="AI889" t="s">
        <v>545</v>
      </c>
      <c r="AJ889">
        <v>35.817382000000002</v>
      </c>
      <c r="AK889" t="s">
        <v>546</v>
      </c>
      <c r="AL889">
        <v>-83.951318000000001</v>
      </c>
      <c r="AM889">
        <v>25</v>
      </c>
      <c r="AN889">
        <v>1550</v>
      </c>
      <c r="AO889" t="s">
        <v>118</v>
      </c>
      <c r="AP889">
        <v>82</v>
      </c>
      <c r="AQ889">
        <v>99</v>
      </c>
      <c r="AR889">
        <v>-192</v>
      </c>
      <c r="AZ889">
        <v>300</v>
      </c>
      <c r="BA889">
        <v>1</v>
      </c>
      <c r="BB889" t="str">
        <f t="shared" si="41"/>
        <v xml:space="preserve">N162AM  </v>
      </c>
      <c r="BC889">
        <v>1</v>
      </c>
      <c r="BE889">
        <v>0</v>
      </c>
      <c r="BF889">
        <v>0</v>
      </c>
      <c r="BG889">
        <v>0</v>
      </c>
      <c r="BH889">
        <v>1825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>"14:46:29.911"</f>
        <v>14:46:29.911</v>
      </c>
      <c r="CJ889">
        <v>2</v>
      </c>
      <c r="CK889">
        <v>2</v>
      </c>
      <c r="CL889">
        <v>0</v>
      </c>
      <c r="CM889">
        <v>2</v>
      </c>
      <c r="CN889">
        <v>0</v>
      </c>
      <c r="CO889">
        <v>6</v>
      </c>
      <c r="CP889" t="s">
        <v>119</v>
      </c>
      <c r="CQ889">
        <v>232</v>
      </c>
      <c r="CR889">
        <v>1</v>
      </c>
      <c r="CW889">
        <v>15181363</v>
      </c>
      <c r="CY889">
        <v>1</v>
      </c>
      <c r="CZ889">
        <v>0</v>
      </c>
      <c r="DA889">
        <v>0</v>
      </c>
      <c r="DB889">
        <v>0</v>
      </c>
      <c r="DC889">
        <v>0</v>
      </c>
      <c r="DD889">
        <v>1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"12/16/2021 14:46:30.147"</f>
        <v>12/16/2021 14:46:30.147</v>
      </c>
      <c r="C890" t="str">
        <f t="shared" si="40"/>
        <v>FFDFD3C0</v>
      </c>
      <c r="D890" t="s">
        <v>124</v>
      </c>
      <c r="E890">
        <v>5</v>
      </c>
      <c r="F890">
        <v>1005</v>
      </c>
      <c r="G890" t="s">
        <v>114</v>
      </c>
      <c r="J890" t="s">
        <v>125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"14:46:29.906"</f>
        <v>14:46:29.906</v>
      </c>
      <c r="T890" t="str">
        <f>"14:46:29.506"</f>
        <v>14:46:29.506</v>
      </c>
      <c r="U890" t="str">
        <f t="shared" si="39"/>
        <v>A0F928</v>
      </c>
      <c r="V890">
        <v>0</v>
      </c>
      <c r="W890">
        <v>0</v>
      </c>
      <c r="X890">
        <v>2</v>
      </c>
      <c r="Z890">
        <v>0</v>
      </c>
      <c r="AA890">
        <v>9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2</v>
      </c>
      <c r="AH890">
        <v>1</v>
      </c>
      <c r="AI890" t="s">
        <v>545</v>
      </c>
      <c r="AJ890">
        <v>35.817382000000002</v>
      </c>
      <c r="AK890" t="s">
        <v>546</v>
      </c>
      <c r="AL890">
        <v>-83.951318000000001</v>
      </c>
      <c r="AM890">
        <v>25</v>
      </c>
      <c r="AN890">
        <v>1550</v>
      </c>
      <c r="AO890" t="s">
        <v>118</v>
      </c>
      <c r="AP890">
        <v>82</v>
      </c>
      <c r="AQ890">
        <v>99</v>
      </c>
      <c r="AR890">
        <v>-192</v>
      </c>
      <c r="AZ890">
        <v>300</v>
      </c>
      <c r="BA890">
        <v>1</v>
      </c>
      <c r="BB890" t="str">
        <f t="shared" si="41"/>
        <v xml:space="preserve">N162AM  </v>
      </c>
      <c r="BC890">
        <v>1</v>
      </c>
      <c r="BE890">
        <v>0</v>
      </c>
      <c r="BF890">
        <v>0</v>
      </c>
      <c r="BG890">
        <v>0</v>
      </c>
      <c r="BH890">
        <v>1825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>"14:46:29.911"</f>
        <v>14:46:29.911</v>
      </c>
      <c r="CJ890">
        <v>3</v>
      </c>
      <c r="CK890">
        <v>2</v>
      </c>
      <c r="CL890">
        <v>0</v>
      </c>
      <c r="CM890">
        <v>2</v>
      </c>
      <c r="CN890">
        <v>0</v>
      </c>
      <c r="CO890">
        <v>6</v>
      </c>
      <c r="CP890" t="s">
        <v>119</v>
      </c>
      <c r="CQ890">
        <v>232</v>
      </c>
      <c r="CR890">
        <v>1</v>
      </c>
      <c r="CW890">
        <v>15181363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1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"12/16/2021 14:46:30.147"</f>
        <v>12/16/2021 14:46:30.147</v>
      </c>
      <c r="C891" t="str">
        <f t="shared" si="40"/>
        <v>FFDFD3C0</v>
      </c>
      <c r="D891" t="s">
        <v>113</v>
      </c>
      <c r="E891">
        <v>8</v>
      </c>
      <c r="H891">
        <v>176</v>
      </c>
      <c r="I891" t="s">
        <v>114</v>
      </c>
      <c r="J891" t="s">
        <v>115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"14:46:29.906"</f>
        <v>14:46:29.906</v>
      </c>
      <c r="T891" t="str">
        <f>"14:46:29.506"</f>
        <v>14:46:29.506</v>
      </c>
      <c r="U891" t="str">
        <f t="shared" si="39"/>
        <v>A0F928</v>
      </c>
      <c r="V891">
        <v>0</v>
      </c>
      <c r="W891">
        <v>0</v>
      </c>
      <c r="X891">
        <v>2</v>
      </c>
      <c r="Z891">
        <v>0</v>
      </c>
      <c r="AA891">
        <v>9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2</v>
      </c>
      <c r="AH891">
        <v>1</v>
      </c>
      <c r="AI891" t="s">
        <v>545</v>
      </c>
      <c r="AJ891">
        <v>35.817382000000002</v>
      </c>
      <c r="AK891" t="s">
        <v>546</v>
      </c>
      <c r="AL891">
        <v>-83.951318000000001</v>
      </c>
      <c r="AM891">
        <v>25</v>
      </c>
      <c r="AN891">
        <v>1550</v>
      </c>
      <c r="AO891" t="s">
        <v>118</v>
      </c>
      <c r="AP891">
        <v>82</v>
      </c>
      <c r="AQ891">
        <v>99</v>
      </c>
      <c r="AR891">
        <v>-192</v>
      </c>
      <c r="AZ891">
        <v>300</v>
      </c>
      <c r="BA891">
        <v>1</v>
      </c>
      <c r="BB891" t="str">
        <f t="shared" si="41"/>
        <v xml:space="preserve">N162AM  </v>
      </c>
      <c r="BC891">
        <v>1</v>
      </c>
      <c r="BE891">
        <v>0</v>
      </c>
      <c r="BF891">
        <v>0</v>
      </c>
      <c r="BG891">
        <v>0</v>
      </c>
      <c r="BH891">
        <v>1825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>"14:46:29.911"</f>
        <v>14:46:29.911</v>
      </c>
      <c r="CJ891">
        <v>3</v>
      </c>
      <c r="CK891">
        <v>2</v>
      </c>
      <c r="CL891">
        <v>0</v>
      </c>
      <c r="CM891">
        <v>2</v>
      </c>
      <c r="CN891">
        <v>0</v>
      </c>
      <c r="CO891">
        <v>6</v>
      </c>
      <c r="CP891" t="s">
        <v>119</v>
      </c>
      <c r="CQ891">
        <v>232</v>
      </c>
      <c r="CR891">
        <v>1</v>
      </c>
      <c r="CW891">
        <v>15181363</v>
      </c>
      <c r="CY891">
        <v>1</v>
      </c>
      <c r="CZ891">
        <v>0</v>
      </c>
      <c r="DA891">
        <v>1</v>
      </c>
      <c r="DB891">
        <v>0</v>
      </c>
      <c r="DC891">
        <v>0</v>
      </c>
      <c r="DD891">
        <v>1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"12/16/2021 14:46:30.147"</f>
        <v>12/16/2021 14:46:30.147</v>
      </c>
      <c r="C892" t="str">
        <f t="shared" si="40"/>
        <v>FFDFD3C0</v>
      </c>
      <c r="D892" t="s">
        <v>133</v>
      </c>
      <c r="E892">
        <v>44</v>
      </c>
      <c r="H892">
        <v>131</v>
      </c>
      <c r="I892" t="s">
        <v>134</v>
      </c>
      <c r="J892" t="s">
        <v>135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"14:46:29.906"</f>
        <v>14:46:29.906</v>
      </c>
      <c r="T892" t="str">
        <f>"14:46:29.506"</f>
        <v>14:46:29.506</v>
      </c>
      <c r="U892" t="str">
        <f t="shared" si="39"/>
        <v>A0F928</v>
      </c>
      <c r="V892">
        <v>0</v>
      </c>
      <c r="W892">
        <v>0</v>
      </c>
      <c r="X892">
        <v>2</v>
      </c>
      <c r="Z892">
        <v>0</v>
      </c>
      <c r="AA892">
        <v>9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1</v>
      </c>
      <c r="AI892" t="s">
        <v>545</v>
      </c>
      <c r="AJ892">
        <v>35.817382000000002</v>
      </c>
      <c r="AK892" t="s">
        <v>546</v>
      </c>
      <c r="AL892">
        <v>-83.951318000000001</v>
      </c>
      <c r="AM892">
        <v>25</v>
      </c>
      <c r="AN892">
        <v>1550</v>
      </c>
      <c r="AO892" t="s">
        <v>118</v>
      </c>
      <c r="AP892">
        <v>82</v>
      </c>
      <c r="AQ892">
        <v>99</v>
      </c>
      <c r="AR892">
        <v>-192</v>
      </c>
      <c r="AZ892">
        <v>300</v>
      </c>
      <c r="BA892">
        <v>1</v>
      </c>
      <c r="BB892" t="str">
        <f t="shared" si="41"/>
        <v xml:space="preserve">N162AM  </v>
      </c>
      <c r="BC892">
        <v>1</v>
      </c>
      <c r="BE892">
        <v>0</v>
      </c>
      <c r="BF892">
        <v>0</v>
      </c>
      <c r="BG892">
        <v>0</v>
      </c>
      <c r="BH892">
        <v>1825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>"14:46:29.911"</f>
        <v>14:46:29.911</v>
      </c>
      <c r="CJ892">
        <v>3</v>
      </c>
      <c r="CK892">
        <v>2</v>
      </c>
      <c r="CL892">
        <v>0</v>
      </c>
      <c r="CM892">
        <v>2</v>
      </c>
      <c r="CN892">
        <v>0</v>
      </c>
      <c r="CO892">
        <v>6</v>
      </c>
      <c r="CP892" t="s">
        <v>119</v>
      </c>
      <c r="CQ892">
        <v>232</v>
      </c>
      <c r="CR892">
        <v>1</v>
      </c>
      <c r="CW892">
        <v>15181363</v>
      </c>
      <c r="CY892">
        <v>1</v>
      </c>
      <c r="CZ892">
        <v>0</v>
      </c>
      <c r="DA892">
        <v>1</v>
      </c>
      <c r="DB892">
        <v>0</v>
      </c>
      <c r="DC892">
        <v>0</v>
      </c>
      <c r="DD892">
        <v>1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"12/16/2021 14:46:31.163"</f>
        <v>12/16/2021 14:46:31.163</v>
      </c>
      <c r="C893" t="str">
        <f t="shared" si="40"/>
        <v>FFDFD3C0</v>
      </c>
      <c r="D893" t="s">
        <v>124</v>
      </c>
      <c r="E893">
        <v>10</v>
      </c>
      <c r="F893">
        <v>1010</v>
      </c>
      <c r="G893" t="s">
        <v>130</v>
      </c>
      <c r="J893" t="s">
        <v>125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"14:46:30.953"</f>
        <v>14:46:30.953</v>
      </c>
      <c r="T893" t="str">
        <f>"14:46:30.453"</f>
        <v>14:46:30.453</v>
      </c>
      <c r="U893" t="str">
        <f t="shared" si="39"/>
        <v>A0F928</v>
      </c>
      <c r="V893">
        <v>0</v>
      </c>
      <c r="W893">
        <v>0</v>
      </c>
      <c r="X893">
        <v>2</v>
      </c>
      <c r="Z893">
        <v>0</v>
      </c>
      <c r="AA893">
        <v>9</v>
      </c>
      <c r="AB893">
        <v>3</v>
      </c>
      <c r="AC893">
        <v>0</v>
      </c>
      <c r="AD893">
        <v>10</v>
      </c>
      <c r="AE893">
        <v>0</v>
      </c>
      <c r="AF893">
        <v>0</v>
      </c>
      <c r="AG893">
        <v>2</v>
      </c>
      <c r="AH893">
        <v>1</v>
      </c>
      <c r="AI893" t="s">
        <v>547</v>
      </c>
      <c r="AJ893">
        <v>35.817897000000002</v>
      </c>
      <c r="AK893" t="s">
        <v>548</v>
      </c>
      <c r="AL893">
        <v>-83.950760000000002</v>
      </c>
      <c r="AM893">
        <v>25</v>
      </c>
      <c r="AN893">
        <v>1525</v>
      </c>
      <c r="AO893" t="s">
        <v>118</v>
      </c>
      <c r="AP893">
        <v>86</v>
      </c>
      <c r="AQ893">
        <v>96</v>
      </c>
      <c r="AR893">
        <v>-128</v>
      </c>
      <c r="AZ893">
        <v>300</v>
      </c>
      <c r="BA893">
        <v>1</v>
      </c>
      <c r="BB893" t="str">
        <f t="shared" si="41"/>
        <v xml:space="preserve">N162AM  </v>
      </c>
      <c r="BC893">
        <v>1</v>
      </c>
      <c r="BE893">
        <v>0</v>
      </c>
      <c r="BF893">
        <v>0</v>
      </c>
      <c r="BG893">
        <v>0</v>
      </c>
      <c r="BH893">
        <v>1825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>"14:46:30.957"</f>
        <v>14:46:30.957</v>
      </c>
      <c r="CJ893">
        <v>2</v>
      </c>
      <c r="CK893">
        <v>2</v>
      </c>
      <c r="CL893">
        <v>0</v>
      </c>
      <c r="CM893">
        <v>2</v>
      </c>
      <c r="CN893">
        <v>0</v>
      </c>
      <c r="CO893">
        <v>6</v>
      </c>
      <c r="CP893" t="s">
        <v>119</v>
      </c>
      <c r="CQ893">
        <v>232</v>
      </c>
      <c r="CR893">
        <v>1</v>
      </c>
      <c r="CW893">
        <v>15182917</v>
      </c>
      <c r="CY893">
        <v>1</v>
      </c>
      <c r="CZ893">
        <v>0</v>
      </c>
      <c r="DA893">
        <v>0</v>
      </c>
      <c r="DB893">
        <v>0</v>
      </c>
      <c r="DC893">
        <v>0</v>
      </c>
      <c r="DD893">
        <v>1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"12/16/2021 14:46:31.241"</f>
        <v>12/16/2021 14:46:31.241</v>
      </c>
      <c r="C894" t="str">
        <f t="shared" si="40"/>
        <v>FFDFD3C0</v>
      </c>
      <c r="D894" t="s">
        <v>113</v>
      </c>
      <c r="E894">
        <v>8</v>
      </c>
      <c r="H894">
        <v>176</v>
      </c>
      <c r="I894" t="s">
        <v>114</v>
      </c>
      <c r="J894" t="s">
        <v>115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"14:46:30.953"</f>
        <v>14:46:30.953</v>
      </c>
      <c r="T894" t="str">
        <f>"14:46:30.453"</f>
        <v>14:46:30.453</v>
      </c>
      <c r="U894" t="str">
        <f t="shared" si="39"/>
        <v>A0F928</v>
      </c>
      <c r="V894">
        <v>0</v>
      </c>
      <c r="W894">
        <v>0</v>
      </c>
      <c r="X894">
        <v>2</v>
      </c>
      <c r="Z894">
        <v>0</v>
      </c>
      <c r="AA894">
        <v>9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1</v>
      </c>
      <c r="AI894" t="s">
        <v>547</v>
      </c>
      <c r="AJ894">
        <v>35.817897000000002</v>
      </c>
      <c r="AK894" t="s">
        <v>548</v>
      </c>
      <c r="AL894">
        <v>-83.950760000000002</v>
      </c>
      <c r="AM894">
        <v>25</v>
      </c>
      <c r="AN894">
        <v>1525</v>
      </c>
      <c r="AO894" t="s">
        <v>118</v>
      </c>
      <c r="AP894">
        <v>86</v>
      </c>
      <c r="AQ894">
        <v>96</v>
      </c>
      <c r="AR894">
        <v>-128</v>
      </c>
      <c r="AZ894">
        <v>300</v>
      </c>
      <c r="BA894">
        <v>1</v>
      </c>
      <c r="BB894" t="str">
        <f t="shared" si="41"/>
        <v xml:space="preserve">N162AM  </v>
      </c>
      <c r="BC894">
        <v>1</v>
      </c>
      <c r="BE894">
        <v>0</v>
      </c>
      <c r="BF894">
        <v>0</v>
      </c>
      <c r="BG894">
        <v>0</v>
      </c>
      <c r="BH894">
        <v>1825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>"14:46:30.957"</f>
        <v>14:46:30.957</v>
      </c>
      <c r="CJ894">
        <v>3</v>
      </c>
      <c r="CK894">
        <v>2</v>
      </c>
      <c r="CL894">
        <v>0</v>
      </c>
      <c r="CM894">
        <v>2</v>
      </c>
      <c r="CN894">
        <v>0</v>
      </c>
      <c r="CO894">
        <v>6</v>
      </c>
      <c r="CP894" t="s">
        <v>119</v>
      </c>
      <c r="CQ894">
        <v>232</v>
      </c>
      <c r="CR894">
        <v>1</v>
      </c>
      <c r="CW894">
        <v>15182917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1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"12/16/2021 14:46:31.241"</f>
        <v>12/16/2021 14:46:31.241</v>
      </c>
      <c r="C895" t="str">
        <f t="shared" si="40"/>
        <v>FFDFD3C0</v>
      </c>
      <c r="D895" t="s">
        <v>133</v>
      </c>
      <c r="E895">
        <v>44</v>
      </c>
      <c r="H895">
        <v>131</v>
      </c>
      <c r="I895" t="s">
        <v>134</v>
      </c>
      <c r="J895" t="s">
        <v>135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"14:46:30.953"</f>
        <v>14:46:30.953</v>
      </c>
      <c r="T895" t="str">
        <f>"14:46:30.453"</f>
        <v>14:46:30.453</v>
      </c>
      <c r="U895" t="str">
        <f t="shared" si="39"/>
        <v>A0F928</v>
      </c>
      <c r="V895">
        <v>0</v>
      </c>
      <c r="W895">
        <v>0</v>
      </c>
      <c r="X895">
        <v>2</v>
      </c>
      <c r="Z895">
        <v>0</v>
      </c>
      <c r="AA895">
        <v>9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1</v>
      </c>
      <c r="AI895" t="s">
        <v>547</v>
      </c>
      <c r="AJ895">
        <v>35.817897000000002</v>
      </c>
      <c r="AK895" t="s">
        <v>548</v>
      </c>
      <c r="AL895">
        <v>-83.950760000000002</v>
      </c>
      <c r="AM895">
        <v>25</v>
      </c>
      <c r="AN895">
        <v>1525</v>
      </c>
      <c r="AO895" t="s">
        <v>118</v>
      </c>
      <c r="AP895">
        <v>86</v>
      </c>
      <c r="AQ895">
        <v>96</v>
      </c>
      <c r="AR895">
        <v>-128</v>
      </c>
      <c r="AZ895">
        <v>300</v>
      </c>
      <c r="BA895">
        <v>1</v>
      </c>
      <c r="BB895" t="str">
        <f t="shared" si="41"/>
        <v xml:space="preserve">N162AM  </v>
      </c>
      <c r="BC895">
        <v>1</v>
      </c>
      <c r="BE895">
        <v>0</v>
      </c>
      <c r="BF895">
        <v>0</v>
      </c>
      <c r="BG895">
        <v>0</v>
      </c>
      <c r="BH895">
        <v>1825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>"14:46:30.957"</f>
        <v>14:46:30.957</v>
      </c>
      <c r="CJ895">
        <v>3</v>
      </c>
      <c r="CK895">
        <v>2</v>
      </c>
      <c r="CL895">
        <v>0</v>
      </c>
      <c r="CM895">
        <v>2</v>
      </c>
      <c r="CN895">
        <v>0</v>
      </c>
      <c r="CO895">
        <v>6</v>
      </c>
      <c r="CP895" t="s">
        <v>119</v>
      </c>
      <c r="CQ895">
        <v>232</v>
      </c>
      <c r="CR895">
        <v>1</v>
      </c>
      <c r="CW895">
        <v>15182917</v>
      </c>
      <c r="CY895">
        <v>1</v>
      </c>
      <c r="CZ895">
        <v>0</v>
      </c>
      <c r="DA895">
        <v>1</v>
      </c>
      <c r="DB895">
        <v>0</v>
      </c>
      <c r="DC895">
        <v>0</v>
      </c>
      <c r="DD895">
        <v>1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"12/16/2021 14:46:31.256"</f>
        <v>12/16/2021 14:46:31.256</v>
      </c>
      <c r="C896" t="str">
        <f t="shared" si="40"/>
        <v>FFDFD3C0</v>
      </c>
      <c r="D896" t="s">
        <v>124</v>
      </c>
      <c r="E896">
        <v>5</v>
      </c>
      <c r="F896">
        <v>1005</v>
      </c>
      <c r="G896" t="s">
        <v>114</v>
      </c>
      <c r="J896" t="s">
        <v>125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"14:46:30.953"</f>
        <v>14:46:30.953</v>
      </c>
      <c r="T896" t="str">
        <f>"14:46:30.453"</f>
        <v>14:46:30.453</v>
      </c>
      <c r="U896" t="str">
        <f t="shared" si="39"/>
        <v>A0F928</v>
      </c>
      <c r="V896">
        <v>0</v>
      </c>
      <c r="W896">
        <v>0</v>
      </c>
      <c r="X896">
        <v>2</v>
      </c>
      <c r="Z896">
        <v>0</v>
      </c>
      <c r="AA896">
        <v>9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1</v>
      </c>
      <c r="AI896" t="s">
        <v>547</v>
      </c>
      <c r="AJ896">
        <v>35.817897000000002</v>
      </c>
      <c r="AK896" t="s">
        <v>548</v>
      </c>
      <c r="AL896">
        <v>-83.950760000000002</v>
      </c>
      <c r="AM896">
        <v>25</v>
      </c>
      <c r="AN896">
        <v>1525</v>
      </c>
      <c r="AO896" t="s">
        <v>118</v>
      </c>
      <c r="AP896">
        <v>86</v>
      </c>
      <c r="AQ896">
        <v>96</v>
      </c>
      <c r="AR896">
        <v>-128</v>
      </c>
      <c r="AZ896">
        <v>300</v>
      </c>
      <c r="BA896">
        <v>1</v>
      </c>
      <c r="BB896" t="str">
        <f t="shared" si="41"/>
        <v xml:space="preserve">N162AM  </v>
      </c>
      <c r="BC896">
        <v>1</v>
      </c>
      <c r="BE896">
        <v>0</v>
      </c>
      <c r="BF896">
        <v>0</v>
      </c>
      <c r="BG896">
        <v>0</v>
      </c>
      <c r="BH896">
        <v>1825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>"14:46:30.957"</f>
        <v>14:46:30.957</v>
      </c>
      <c r="CJ896">
        <v>3</v>
      </c>
      <c r="CK896">
        <v>2</v>
      </c>
      <c r="CL896">
        <v>0</v>
      </c>
      <c r="CM896">
        <v>2</v>
      </c>
      <c r="CN896">
        <v>0</v>
      </c>
      <c r="CO896">
        <v>6</v>
      </c>
      <c r="CP896" t="s">
        <v>119</v>
      </c>
      <c r="CQ896">
        <v>232</v>
      </c>
      <c r="CR896">
        <v>1</v>
      </c>
      <c r="CW896">
        <v>15182917</v>
      </c>
      <c r="CY896">
        <v>1</v>
      </c>
      <c r="CZ896">
        <v>0</v>
      </c>
      <c r="DA896">
        <v>1</v>
      </c>
      <c r="DB896">
        <v>0</v>
      </c>
      <c r="DC896">
        <v>0</v>
      </c>
      <c r="DD896">
        <v>1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"12/16/2021 14:46:32.366"</f>
        <v>12/16/2021 14:46:32.366</v>
      </c>
      <c r="C897" t="str">
        <f t="shared" si="40"/>
        <v>FFDFD3C0</v>
      </c>
      <c r="D897" t="s">
        <v>113</v>
      </c>
      <c r="E897">
        <v>8</v>
      </c>
      <c r="H897">
        <v>176</v>
      </c>
      <c r="I897" t="s">
        <v>114</v>
      </c>
      <c r="J897" t="s">
        <v>115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"14:46:32.117"</f>
        <v>14:46:32.117</v>
      </c>
      <c r="T897" t="str">
        <f>"14:46:31.617"</f>
        <v>14:46:31.617</v>
      </c>
      <c r="U897" t="str">
        <f t="shared" si="39"/>
        <v>A0F928</v>
      </c>
      <c r="V897">
        <v>0</v>
      </c>
      <c r="W897">
        <v>0</v>
      </c>
      <c r="X897">
        <v>2</v>
      </c>
      <c r="Z897">
        <v>0</v>
      </c>
      <c r="AA897">
        <v>9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2</v>
      </c>
      <c r="AH897">
        <v>1</v>
      </c>
      <c r="AI897" t="s">
        <v>549</v>
      </c>
      <c r="AJ897">
        <v>35.818368999999997</v>
      </c>
      <c r="AK897" t="s">
        <v>550</v>
      </c>
      <c r="AL897">
        <v>-83.950224000000006</v>
      </c>
      <c r="AM897">
        <v>25</v>
      </c>
      <c r="AN897">
        <v>1550</v>
      </c>
      <c r="AO897" t="s">
        <v>118</v>
      </c>
      <c r="AP897">
        <v>88</v>
      </c>
      <c r="AQ897">
        <v>94</v>
      </c>
      <c r="AR897">
        <v>0</v>
      </c>
      <c r="AZ897">
        <v>300</v>
      </c>
      <c r="BA897">
        <v>1</v>
      </c>
      <c r="BB897" t="str">
        <f t="shared" si="41"/>
        <v xml:space="preserve">N162AM  </v>
      </c>
      <c r="BC897">
        <v>1</v>
      </c>
      <c r="BE897">
        <v>0</v>
      </c>
      <c r="BF897">
        <v>0</v>
      </c>
      <c r="BG897">
        <v>0</v>
      </c>
      <c r="BH897">
        <v>1800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>"14:46:32.118"</f>
        <v>14:46:32.118</v>
      </c>
      <c r="CJ897">
        <v>3</v>
      </c>
      <c r="CK897">
        <v>2</v>
      </c>
      <c r="CL897">
        <v>0</v>
      </c>
      <c r="CM897">
        <v>2</v>
      </c>
      <c r="CN897">
        <v>0</v>
      </c>
      <c r="CO897">
        <v>5</v>
      </c>
      <c r="CP897" t="s">
        <v>119</v>
      </c>
      <c r="CQ897">
        <v>232</v>
      </c>
      <c r="CR897">
        <v>2</v>
      </c>
      <c r="CW897">
        <v>6377017</v>
      </c>
      <c r="CY897">
        <v>1</v>
      </c>
      <c r="CZ897">
        <v>0</v>
      </c>
      <c r="DA897">
        <v>0</v>
      </c>
      <c r="DB897">
        <v>0</v>
      </c>
      <c r="DC897">
        <v>0</v>
      </c>
      <c r="DD897">
        <v>1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"12/16/2021 14:46:32.381"</f>
        <v>12/16/2021 14:46:32.381</v>
      </c>
      <c r="C898" t="str">
        <f t="shared" si="40"/>
        <v>FFDFD3C0</v>
      </c>
      <c r="D898" t="s">
        <v>133</v>
      </c>
      <c r="E898">
        <v>44</v>
      </c>
      <c r="H898">
        <v>131</v>
      </c>
      <c r="I898" t="s">
        <v>134</v>
      </c>
      <c r="J898" t="s">
        <v>135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"14:46:32.117"</f>
        <v>14:46:32.117</v>
      </c>
      <c r="T898" t="str">
        <f>"14:46:31.617"</f>
        <v>14:46:31.617</v>
      </c>
      <c r="U898" t="str">
        <f t="shared" ref="U898:U961" si="42">"A0F928"</f>
        <v>A0F928</v>
      </c>
      <c r="V898">
        <v>0</v>
      </c>
      <c r="W898">
        <v>0</v>
      </c>
      <c r="X898">
        <v>2</v>
      </c>
      <c r="Z898">
        <v>0</v>
      </c>
      <c r="AA898">
        <v>9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1</v>
      </c>
      <c r="AI898" t="s">
        <v>549</v>
      </c>
      <c r="AJ898">
        <v>35.818368999999997</v>
      </c>
      <c r="AK898" t="s">
        <v>550</v>
      </c>
      <c r="AL898">
        <v>-83.950224000000006</v>
      </c>
      <c r="AM898">
        <v>25</v>
      </c>
      <c r="AN898">
        <v>1550</v>
      </c>
      <c r="AO898" t="s">
        <v>118</v>
      </c>
      <c r="AP898">
        <v>88</v>
      </c>
      <c r="AQ898">
        <v>94</v>
      </c>
      <c r="AR898">
        <v>0</v>
      </c>
      <c r="AZ898">
        <v>300</v>
      </c>
      <c r="BA898">
        <v>1</v>
      </c>
      <c r="BB898" t="str">
        <f t="shared" si="41"/>
        <v xml:space="preserve">N162AM  </v>
      </c>
      <c r="BC898">
        <v>1</v>
      </c>
      <c r="BE898">
        <v>0</v>
      </c>
      <c r="BF898">
        <v>0</v>
      </c>
      <c r="BG898">
        <v>0</v>
      </c>
      <c r="BH898">
        <v>1800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>"14:46:32.118"</f>
        <v>14:46:32.118</v>
      </c>
      <c r="CJ898">
        <v>3</v>
      </c>
      <c r="CK898">
        <v>2</v>
      </c>
      <c r="CL898">
        <v>0</v>
      </c>
      <c r="CM898">
        <v>2</v>
      </c>
      <c r="CN898">
        <v>0</v>
      </c>
      <c r="CO898">
        <v>5</v>
      </c>
      <c r="CP898" t="s">
        <v>119</v>
      </c>
      <c r="CQ898">
        <v>232</v>
      </c>
      <c r="CR898">
        <v>2</v>
      </c>
      <c r="CW898">
        <v>6377017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1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"12/16/2021 14:46:32.397"</f>
        <v>12/16/2021 14:46:32.397</v>
      </c>
      <c r="C899" t="str">
        <f t="shared" si="40"/>
        <v>FFDFD3C0</v>
      </c>
      <c r="D899" t="s">
        <v>124</v>
      </c>
      <c r="E899">
        <v>5</v>
      </c>
      <c r="F899">
        <v>1005</v>
      </c>
      <c r="G899" t="s">
        <v>114</v>
      </c>
      <c r="J899" t="s">
        <v>125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"14:46:32.117"</f>
        <v>14:46:32.117</v>
      </c>
      <c r="T899" t="str">
        <f>"14:46:31.617"</f>
        <v>14:46:31.617</v>
      </c>
      <c r="U899" t="str">
        <f t="shared" si="42"/>
        <v>A0F928</v>
      </c>
      <c r="V899">
        <v>0</v>
      </c>
      <c r="W899">
        <v>0</v>
      </c>
      <c r="X899">
        <v>2</v>
      </c>
      <c r="Z899">
        <v>0</v>
      </c>
      <c r="AA899">
        <v>9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1</v>
      </c>
      <c r="AI899" t="s">
        <v>549</v>
      </c>
      <c r="AJ899">
        <v>35.818368999999997</v>
      </c>
      <c r="AK899" t="s">
        <v>550</v>
      </c>
      <c r="AL899">
        <v>-83.950224000000006</v>
      </c>
      <c r="AM899">
        <v>25</v>
      </c>
      <c r="AN899">
        <v>1550</v>
      </c>
      <c r="AO899" t="s">
        <v>118</v>
      </c>
      <c r="AP899">
        <v>88</v>
      </c>
      <c r="AQ899">
        <v>94</v>
      </c>
      <c r="AR899">
        <v>0</v>
      </c>
      <c r="AZ899">
        <v>300</v>
      </c>
      <c r="BA899">
        <v>1</v>
      </c>
      <c r="BB899" t="str">
        <f t="shared" si="41"/>
        <v xml:space="preserve">N162AM  </v>
      </c>
      <c r="BC899">
        <v>1</v>
      </c>
      <c r="BE899">
        <v>0</v>
      </c>
      <c r="BF899">
        <v>0</v>
      </c>
      <c r="BG899">
        <v>0</v>
      </c>
      <c r="BH899">
        <v>1800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>"14:46:32.118"</f>
        <v>14:46:32.118</v>
      </c>
      <c r="CJ899">
        <v>3</v>
      </c>
      <c r="CK899">
        <v>2</v>
      </c>
      <c r="CL899">
        <v>0</v>
      </c>
      <c r="CM899">
        <v>2</v>
      </c>
      <c r="CN899">
        <v>0</v>
      </c>
      <c r="CO899">
        <v>5</v>
      </c>
      <c r="CP899" t="s">
        <v>119</v>
      </c>
      <c r="CQ899">
        <v>232</v>
      </c>
      <c r="CR899">
        <v>2</v>
      </c>
      <c r="CW899">
        <v>6377017</v>
      </c>
      <c r="CY899">
        <v>1</v>
      </c>
      <c r="CZ899">
        <v>0</v>
      </c>
      <c r="DA899">
        <v>1</v>
      </c>
      <c r="DB899">
        <v>0</v>
      </c>
      <c r="DC899">
        <v>0</v>
      </c>
      <c r="DD899">
        <v>1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"12/16/2021 14:46:32.397"</f>
        <v>12/16/2021 14:46:32.397</v>
      </c>
      <c r="C900" t="str">
        <f t="shared" si="40"/>
        <v>FFDFD3C0</v>
      </c>
      <c r="D900" t="s">
        <v>124</v>
      </c>
      <c r="E900">
        <v>10</v>
      </c>
      <c r="F900">
        <v>1010</v>
      </c>
      <c r="G900" t="s">
        <v>130</v>
      </c>
      <c r="J900" t="s">
        <v>125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"14:46:32.117"</f>
        <v>14:46:32.117</v>
      </c>
      <c r="T900" t="str">
        <f>"14:46:31.617"</f>
        <v>14:46:31.617</v>
      </c>
      <c r="U900" t="str">
        <f t="shared" si="42"/>
        <v>A0F928</v>
      </c>
      <c r="V900">
        <v>0</v>
      </c>
      <c r="W900">
        <v>0</v>
      </c>
      <c r="X900">
        <v>2</v>
      </c>
      <c r="Z900">
        <v>0</v>
      </c>
      <c r="AA900">
        <v>9</v>
      </c>
      <c r="AB900">
        <v>3</v>
      </c>
      <c r="AC900">
        <v>0</v>
      </c>
      <c r="AD900">
        <v>10</v>
      </c>
      <c r="AE900">
        <v>0</v>
      </c>
      <c r="AF900">
        <v>0</v>
      </c>
      <c r="AG900">
        <v>2</v>
      </c>
      <c r="AH900">
        <v>1</v>
      </c>
      <c r="AI900" t="s">
        <v>549</v>
      </c>
      <c r="AJ900">
        <v>35.818368999999997</v>
      </c>
      <c r="AK900" t="s">
        <v>550</v>
      </c>
      <c r="AL900">
        <v>-83.950224000000006</v>
      </c>
      <c r="AM900">
        <v>25</v>
      </c>
      <c r="AN900">
        <v>1550</v>
      </c>
      <c r="AO900" t="s">
        <v>118</v>
      </c>
      <c r="AP900">
        <v>88</v>
      </c>
      <c r="AQ900">
        <v>94</v>
      </c>
      <c r="AR900">
        <v>0</v>
      </c>
      <c r="AZ900">
        <v>300</v>
      </c>
      <c r="BA900">
        <v>1</v>
      </c>
      <c r="BB900" t="str">
        <f t="shared" si="41"/>
        <v xml:space="preserve">N162AM  </v>
      </c>
      <c r="BC900">
        <v>1</v>
      </c>
      <c r="BE900">
        <v>0</v>
      </c>
      <c r="BF900">
        <v>0</v>
      </c>
      <c r="BG900">
        <v>0</v>
      </c>
      <c r="BH900">
        <v>1800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>"14:46:32.118"</f>
        <v>14:46:32.118</v>
      </c>
      <c r="CJ900">
        <v>2</v>
      </c>
      <c r="CK900">
        <v>2</v>
      </c>
      <c r="CL900">
        <v>0</v>
      </c>
      <c r="CM900">
        <v>2</v>
      </c>
      <c r="CN900">
        <v>0</v>
      </c>
      <c r="CO900">
        <v>5</v>
      </c>
      <c r="CP900" t="s">
        <v>119</v>
      </c>
      <c r="CQ900">
        <v>232</v>
      </c>
      <c r="CR900">
        <v>2</v>
      </c>
      <c r="CW900">
        <v>6377017</v>
      </c>
      <c r="CY900">
        <v>1</v>
      </c>
      <c r="CZ900">
        <v>0</v>
      </c>
      <c r="DA900">
        <v>1</v>
      </c>
      <c r="DB900">
        <v>0</v>
      </c>
      <c r="DC900">
        <v>0</v>
      </c>
      <c r="DD900">
        <v>1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"12/16/2021 14:46:33.428"</f>
        <v>12/16/2021 14:46:33.428</v>
      </c>
      <c r="C901" t="str">
        <f t="shared" si="40"/>
        <v>FFDFD3C0</v>
      </c>
      <c r="D901" t="s">
        <v>124</v>
      </c>
      <c r="E901">
        <v>10</v>
      </c>
      <c r="F901">
        <v>1010</v>
      </c>
      <c r="G901" t="s">
        <v>130</v>
      </c>
      <c r="J901" t="s">
        <v>125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"14:46:33.211"</f>
        <v>14:46:33.211</v>
      </c>
      <c r="T901" t="str">
        <f>"14:46:32.711"</f>
        <v>14:46:32.711</v>
      </c>
      <c r="U901" t="str">
        <f t="shared" si="42"/>
        <v>A0F928</v>
      </c>
      <c r="V901">
        <v>0</v>
      </c>
      <c r="W901">
        <v>0</v>
      </c>
      <c r="X901">
        <v>2</v>
      </c>
      <c r="Z901">
        <v>0</v>
      </c>
      <c r="AA901">
        <v>9</v>
      </c>
      <c r="AB901">
        <v>3</v>
      </c>
      <c r="AC901">
        <v>0</v>
      </c>
      <c r="AD901">
        <v>10</v>
      </c>
      <c r="AE901">
        <v>0</v>
      </c>
      <c r="AF901">
        <v>0</v>
      </c>
      <c r="AG901">
        <v>2</v>
      </c>
      <c r="AH901">
        <v>1</v>
      </c>
      <c r="AI901" t="s">
        <v>551</v>
      </c>
      <c r="AJ901">
        <v>35.818820000000002</v>
      </c>
      <c r="AK901" t="s">
        <v>552</v>
      </c>
      <c r="AL901">
        <v>-83.949623000000003</v>
      </c>
      <c r="AM901">
        <v>25</v>
      </c>
      <c r="AN901">
        <v>1550</v>
      </c>
      <c r="AO901" t="s">
        <v>118</v>
      </c>
      <c r="AP901">
        <v>90</v>
      </c>
      <c r="AQ901">
        <v>92</v>
      </c>
      <c r="AR901">
        <v>128</v>
      </c>
      <c r="AZ901">
        <v>300</v>
      </c>
      <c r="BA901">
        <v>1</v>
      </c>
      <c r="BB901" t="str">
        <f t="shared" si="41"/>
        <v xml:space="preserve">N162AM  </v>
      </c>
      <c r="BC901">
        <v>1</v>
      </c>
      <c r="BE901">
        <v>0</v>
      </c>
      <c r="BF901">
        <v>0</v>
      </c>
      <c r="BG901">
        <v>0</v>
      </c>
      <c r="BH901">
        <v>1825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>"14:46:33.218"</f>
        <v>14:46:33.218</v>
      </c>
      <c r="CJ901">
        <v>2</v>
      </c>
      <c r="CK901">
        <v>2</v>
      </c>
      <c r="CL901">
        <v>0</v>
      </c>
      <c r="CM901">
        <v>2</v>
      </c>
      <c r="CN901">
        <v>0</v>
      </c>
      <c r="CO901">
        <v>6</v>
      </c>
      <c r="CP901" t="s">
        <v>119</v>
      </c>
      <c r="CQ901">
        <v>232</v>
      </c>
      <c r="CR901">
        <v>2</v>
      </c>
      <c r="CW901">
        <v>6378688</v>
      </c>
      <c r="CY901">
        <v>1</v>
      </c>
      <c r="CZ901">
        <v>0</v>
      </c>
      <c r="DA901">
        <v>0</v>
      </c>
      <c r="DB901">
        <v>0</v>
      </c>
      <c r="DC901">
        <v>0</v>
      </c>
      <c r="DD901">
        <v>1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"12/16/2021 14:46:33.444"</f>
        <v>12/16/2021 14:46:33.444</v>
      </c>
      <c r="C902" t="str">
        <f t="shared" si="40"/>
        <v>FFDFD3C0</v>
      </c>
      <c r="D902" t="s">
        <v>113</v>
      </c>
      <c r="E902">
        <v>8</v>
      </c>
      <c r="H902">
        <v>176</v>
      </c>
      <c r="I902" t="s">
        <v>114</v>
      </c>
      <c r="J902" t="s">
        <v>115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"14:46:33.211"</f>
        <v>14:46:33.211</v>
      </c>
      <c r="T902" t="str">
        <f>"14:46:32.711"</f>
        <v>14:46:32.711</v>
      </c>
      <c r="U902" t="str">
        <f t="shared" si="42"/>
        <v>A0F928</v>
      </c>
      <c r="V902">
        <v>0</v>
      </c>
      <c r="W902">
        <v>0</v>
      </c>
      <c r="X902">
        <v>2</v>
      </c>
      <c r="Z902">
        <v>0</v>
      </c>
      <c r="AA902">
        <v>9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1</v>
      </c>
      <c r="AI902" t="s">
        <v>551</v>
      </c>
      <c r="AJ902">
        <v>35.818820000000002</v>
      </c>
      <c r="AK902" t="s">
        <v>552</v>
      </c>
      <c r="AL902">
        <v>-83.949623000000003</v>
      </c>
      <c r="AM902">
        <v>25</v>
      </c>
      <c r="AN902">
        <v>1550</v>
      </c>
      <c r="AO902" t="s">
        <v>118</v>
      </c>
      <c r="AP902">
        <v>90</v>
      </c>
      <c r="AQ902">
        <v>92</v>
      </c>
      <c r="AR902">
        <v>128</v>
      </c>
      <c r="AZ902">
        <v>300</v>
      </c>
      <c r="BA902">
        <v>1</v>
      </c>
      <c r="BB902" t="str">
        <f t="shared" si="41"/>
        <v xml:space="preserve">N162AM  </v>
      </c>
      <c r="BC902">
        <v>1</v>
      </c>
      <c r="BE902">
        <v>0</v>
      </c>
      <c r="BF902">
        <v>0</v>
      </c>
      <c r="BG902">
        <v>0</v>
      </c>
      <c r="BH902">
        <v>1825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>"14:46:33.218"</f>
        <v>14:46:33.218</v>
      </c>
      <c r="CJ902">
        <v>3</v>
      </c>
      <c r="CK902">
        <v>2</v>
      </c>
      <c r="CL902">
        <v>0</v>
      </c>
      <c r="CM902">
        <v>2</v>
      </c>
      <c r="CN902">
        <v>0</v>
      </c>
      <c r="CO902">
        <v>6</v>
      </c>
      <c r="CP902" t="s">
        <v>119</v>
      </c>
      <c r="CQ902">
        <v>232</v>
      </c>
      <c r="CR902">
        <v>2</v>
      </c>
      <c r="CW902">
        <v>6378688</v>
      </c>
      <c r="CY902">
        <v>1</v>
      </c>
      <c r="CZ902">
        <v>0</v>
      </c>
      <c r="DA902">
        <v>1</v>
      </c>
      <c r="DB902">
        <v>0</v>
      </c>
      <c r="DC902">
        <v>0</v>
      </c>
      <c r="DD902">
        <v>1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"12/16/2021 14:46:33.460"</f>
        <v>12/16/2021 14:46:33.460</v>
      </c>
      <c r="C903" t="str">
        <f t="shared" si="40"/>
        <v>FFDFD3C0</v>
      </c>
      <c r="D903" t="s">
        <v>133</v>
      </c>
      <c r="E903">
        <v>44</v>
      </c>
      <c r="H903">
        <v>131</v>
      </c>
      <c r="I903" t="s">
        <v>134</v>
      </c>
      <c r="J903" t="s">
        <v>135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"14:46:33.211"</f>
        <v>14:46:33.211</v>
      </c>
      <c r="T903" t="str">
        <f>"14:46:32.711"</f>
        <v>14:46:32.711</v>
      </c>
      <c r="U903" t="str">
        <f t="shared" si="42"/>
        <v>A0F928</v>
      </c>
      <c r="V903">
        <v>0</v>
      </c>
      <c r="W903">
        <v>0</v>
      </c>
      <c r="X903">
        <v>2</v>
      </c>
      <c r="Z903">
        <v>0</v>
      </c>
      <c r="AA903">
        <v>9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2</v>
      </c>
      <c r="AH903">
        <v>1</v>
      </c>
      <c r="AI903" t="s">
        <v>551</v>
      </c>
      <c r="AJ903">
        <v>35.818820000000002</v>
      </c>
      <c r="AK903" t="s">
        <v>552</v>
      </c>
      <c r="AL903">
        <v>-83.949623000000003</v>
      </c>
      <c r="AM903">
        <v>25</v>
      </c>
      <c r="AN903">
        <v>1550</v>
      </c>
      <c r="AO903" t="s">
        <v>118</v>
      </c>
      <c r="AP903">
        <v>90</v>
      </c>
      <c r="AQ903">
        <v>92</v>
      </c>
      <c r="AR903">
        <v>128</v>
      </c>
      <c r="AZ903">
        <v>300</v>
      </c>
      <c r="BA903">
        <v>1</v>
      </c>
      <c r="BB903" t="str">
        <f t="shared" si="41"/>
        <v xml:space="preserve">N162AM  </v>
      </c>
      <c r="BC903">
        <v>1</v>
      </c>
      <c r="BE903">
        <v>0</v>
      </c>
      <c r="BF903">
        <v>0</v>
      </c>
      <c r="BG903">
        <v>0</v>
      </c>
      <c r="BH903">
        <v>1825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>"14:46:33.218"</f>
        <v>14:46:33.218</v>
      </c>
      <c r="CJ903">
        <v>3</v>
      </c>
      <c r="CK903">
        <v>2</v>
      </c>
      <c r="CL903">
        <v>0</v>
      </c>
      <c r="CM903">
        <v>2</v>
      </c>
      <c r="CN903">
        <v>0</v>
      </c>
      <c r="CO903">
        <v>6</v>
      </c>
      <c r="CP903" t="s">
        <v>119</v>
      </c>
      <c r="CQ903">
        <v>232</v>
      </c>
      <c r="CR903">
        <v>2</v>
      </c>
      <c r="CW903">
        <v>6378688</v>
      </c>
      <c r="CY903">
        <v>1</v>
      </c>
      <c r="CZ903">
        <v>0</v>
      </c>
      <c r="DA903">
        <v>1</v>
      </c>
      <c r="DB903">
        <v>0</v>
      </c>
      <c r="DC903">
        <v>0</v>
      </c>
      <c r="DD903">
        <v>1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"12/16/2021 14:46:33.460"</f>
        <v>12/16/2021 14:46:33.460</v>
      </c>
      <c r="C904" t="str">
        <f t="shared" si="40"/>
        <v>FFDFD3C0</v>
      </c>
      <c r="D904" t="s">
        <v>124</v>
      </c>
      <c r="E904">
        <v>5</v>
      </c>
      <c r="F904">
        <v>1005</v>
      </c>
      <c r="G904" t="s">
        <v>114</v>
      </c>
      <c r="J904" t="s">
        <v>125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"14:46:33.211"</f>
        <v>14:46:33.211</v>
      </c>
      <c r="T904" t="str">
        <f>"14:46:32.711"</f>
        <v>14:46:32.711</v>
      </c>
      <c r="U904" t="str">
        <f t="shared" si="42"/>
        <v>A0F928</v>
      </c>
      <c r="V904">
        <v>0</v>
      </c>
      <c r="W904">
        <v>0</v>
      </c>
      <c r="X904">
        <v>2</v>
      </c>
      <c r="Z904">
        <v>0</v>
      </c>
      <c r="AA904">
        <v>9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1</v>
      </c>
      <c r="AI904" t="s">
        <v>551</v>
      </c>
      <c r="AJ904">
        <v>35.818820000000002</v>
      </c>
      <c r="AK904" t="s">
        <v>552</v>
      </c>
      <c r="AL904">
        <v>-83.949623000000003</v>
      </c>
      <c r="AM904">
        <v>25</v>
      </c>
      <c r="AN904">
        <v>1550</v>
      </c>
      <c r="AO904" t="s">
        <v>118</v>
      </c>
      <c r="AP904">
        <v>90</v>
      </c>
      <c r="AQ904">
        <v>92</v>
      </c>
      <c r="AR904">
        <v>128</v>
      </c>
      <c r="AZ904">
        <v>300</v>
      </c>
      <c r="BA904">
        <v>1</v>
      </c>
      <c r="BB904" t="str">
        <f t="shared" si="41"/>
        <v xml:space="preserve">N162AM  </v>
      </c>
      <c r="BC904">
        <v>1</v>
      </c>
      <c r="BE904">
        <v>0</v>
      </c>
      <c r="BF904">
        <v>0</v>
      </c>
      <c r="BG904">
        <v>0</v>
      </c>
      <c r="BH904">
        <v>1825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>"14:46:33.218"</f>
        <v>14:46:33.218</v>
      </c>
      <c r="CJ904">
        <v>3</v>
      </c>
      <c r="CK904">
        <v>2</v>
      </c>
      <c r="CL904">
        <v>0</v>
      </c>
      <c r="CM904">
        <v>2</v>
      </c>
      <c r="CN904">
        <v>0</v>
      </c>
      <c r="CO904">
        <v>6</v>
      </c>
      <c r="CP904" t="s">
        <v>119</v>
      </c>
      <c r="CQ904">
        <v>232</v>
      </c>
      <c r="CR904">
        <v>2</v>
      </c>
      <c r="CW904">
        <v>6378688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1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"12/16/2021 14:46:34.398"</f>
        <v>12/16/2021 14:46:34.398</v>
      </c>
      <c r="C905" t="str">
        <f t="shared" si="40"/>
        <v>FFDFD3C0</v>
      </c>
      <c r="D905" t="s">
        <v>124</v>
      </c>
      <c r="E905">
        <v>10</v>
      </c>
      <c r="F905">
        <v>1010</v>
      </c>
      <c r="G905" t="s">
        <v>130</v>
      </c>
      <c r="J905" t="s">
        <v>125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"14:46:34.172"</f>
        <v>14:46:34.172</v>
      </c>
      <c r="T905" t="str">
        <f>"14:46:33.272"</f>
        <v>14:46:33.272</v>
      </c>
      <c r="U905" t="str">
        <f t="shared" si="42"/>
        <v>A0F928</v>
      </c>
      <c r="V905">
        <v>0</v>
      </c>
      <c r="W905">
        <v>0</v>
      </c>
      <c r="X905">
        <v>2</v>
      </c>
      <c r="Z905">
        <v>0</v>
      </c>
      <c r="AA905">
        <v>9</v>
      </c>
      <c r="AB905">
        <v>3</v>
      </c>
      <c r="AC905">
        <v>0</v>
      </c>
      <c r="AD905">
        <v>10</v>
      </c>
      <c r="AE905">
        <v>0</v>
      </c>
      <c r="AF905">
        <v>0</v>
      </c>
      <c r="AG905">
        <v>2</v>
      </c>
      <c r="AH905">
        <v>1</v>
      </c>
      <c r="AI905" t="s">
        <v>553</v>
      </c>
      <c r="AJ905">
        <v>35.819271000000001</v>
      </c>
      <c r="AK905" t="s">
        <v>554</v>
      </c>
      <c r="AL905">
        <v>-83.949107999999995</v>
      </c>
      <c r="AM905">
        <v>25</v>
      </c>
      <c r="AN905">
        <v>1550</v>
      </c>
      <c r="AO905" t="s">
        <v>118</v>
      </c>
      <c r="AP905">
        <v>90</v>
      </c>
      <c r="AQ905">
        <v>92</v>
      </c>
      <c r="AR905">
        <v>128</v>
      </c>
      <c r="AZ905">
        <v>300</v>
      </c>
      <c r="BA905">
        <v>1</v>
      </c>
      <c r="BB905" t="str">
        <f t="shared" si="41"/>
        <v xml:space="preserve">N162AM  </v>
      </c>
      <c r="BC905">
        <v>1</v>
      </c>
      <c r="BE905">
        <v>0</v>
      </c>
      <c r="BF905">
        <v>0</v>
      </c>
      <c r="BG905">
        <v>0</v>
      </c>
      <c r="BH905">
        <v>1825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>"14:46:34.175"</f>
        <v>14:46:34.175</v>
      </c>
      <c r="CJ905">
        <v>2</v>
      </c>
      <c r="CK905">
        <v>2</v>
      </c>
      <c r="CL905">
        <v>0</v>
      </c>
      <c r="CM905">
        <v>2</v>
      </c>
      <c r="CN905">
        <v>0</v>
      </c>
      <c r="CO905">
        <v>6</v>
      </c>
      <c r="CP905" t="s">
        <v>119</v>
      </c>
      <c r="CQ905">
        <v>232</v>
      </c>
      <c r="CR905">
        <v>2</v>
      </c>
      <c r="CW905">
        <v>6380244</v>
      </c>
      <c r="CY905">
        <v>1</v>
      </c>
      <c r="CZ905">
        <v>0</v>
      </c>
      <c r="DA905">
        <v>0</v>
      </c>
      <c r="DB905">
        <v>0</v>
      </c>
      <c r="DC905">
        <v>0</v>
      </c>
      <c r="DD905">
        <v>1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"12/16/2021 14:46:34.398"</f>
        <v>12/16/2021 14:46:34.398</v>
      </c>
      <c r="C906" t="str">
        <f t="shared" si="40"/>
        <v>FFDFD3C0</v>
      </c>
      <c r="D906" t="s">
        <v>133</v>
      </c>
      <c r="E906">
        <v>44</v>
      </c>
      <c r="H906">
        <v>131</v>
      </c>
      <c r="I906" t="s">
        <v>134</v>
      </c>
      <c r="J906" t="s">
        <v>135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"14:46:34.172"</f>
        <v>14:46:34.172</v>
      </c>
      <c r="T906" t="str">
        <f>"14:46:33.272"</f>
        <v>14:46:33.272</v>
      </c>
      <c r="U906" t="str">
        <f t="shared" si="42"/>
        <v>A0F928</v>
      </c>
      <c r="V906">
        <v>0</v>
      </c>
      <c r="W906">
        <v>0</v>
      </c>
      <c r="X906">
        <v>2</v>
      </c>
      <c r="Z906">
        <v>0</v>
      </c>
      <c r="AA906">
        <v>9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1</v>
      </c>
      <c r="AI906" t="s">
        <v>553</v>
      </c>
      <c r="AJ906">
        <v>35.819271000000001</v>
      </c>
      <c r="AK906" t="s">
        <v>554</v>
      </c>
      <c r="AL906">
        <v>-83.949107999999995</v>
      </c>
      <c r="AM906">
        <v>25</v>
      </c>
      <c r="AN906">
        <v>1550</v>
      </c>
      <c r="AO906" t="s">
        <v>118</v>
      </c>
      <c r="AP906">
        <v>90</v>
      </c>
      <c r="AQ906">
        <v>92</v>
      </c>
      <c r="AR906">
        <v>128</v>
      </c>
      <c r="AZ906">
        <v>300</v>
      </c>
      <c r="BA906">
        <v>1</v>
      </c>
      <c r="BB906" t="str">
        <f t="shared" si="41"/>
        <v xml:space="preserve">N162AM  </v>
      </c>
      <c r="BC906">
        <v>1</v>
      </c>
      <c r="BE906">
        <v>0</v>
      </c>
      <c r="BF906">
        <v>0</v>
      </c>
      <c r="BG906">
        <v>0</v>
      </c>
      <c r="BH906">
        <v>1825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>"14:46:34.175"</f>
        <v>14:46:34.175</v>
      </c>
      <c r="CJ906">
        <v>3</v>
      </c>
      <c r="CK906">
        <v>2</v>
      </c>
      <c r="CL906">
        <v>0</v>
      </c>
      <c r="CM906">
        <v>2</v>
      </c>
      <c r="CN906">
        <v>0</v>
      </c>
      <c r="CO906">
        <v>6</v>
      </c>
      <c r="CP906" t="s">
        <v>119</v>
      </c>
      <c r="CQ906">
        <v>232</v>
      </c>
      <c r="CR906">
        <v>2</v>
      </c>
      <c r="CW906">
        <v>6380244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1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"12/16/2021 14:46:34.398"</f>
        <v>12/16/2021 14:46:34.398</v>
      </c>
      <c r="C907" t="str">
        <f t="shared" si="40"/>
        <v>FFDFD3C0</v>
      </c>
      <c r="D907" t="s">
        <v>124</v>
      </c>
      <c r="E907">
        <v>5</v>
      </c>
      <c r="F907">
        <v>1005</v>
      </c>
      <c r="G907" t="s">
        <v>114</v>
      </c>
      <c r="J907" t="s">
        <v>125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"14:46:34.172"</f>
        <v>14:46:34.172</v>
      </c>
      <c r="T907" t="str">
        <f>"14:46:33.272"</f>
        <v>14:46:33.272</v>
      </c>
      <c r="U907" t="str">
        <f t="shared" si="42"/>
        <v>A0F928</v>
      </c>
      <c r="V907">
        <v>0</v>
      </c>
      <c r="W907">
        <v>0</v>
      </c>
      <c r="X907">
        <v>2</v>
      </c>
      <c r="Z907">
        <v>0</v>
      </c>
      <c r="AA907">
        <v>9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2</v>
      </c>
      <c r="AH907">
        <v>1</v>
      </c>
      <c r="AI907" t="s">
        <v>553</v>
      </c>
      <c r="AJ907">
        <v>35.819271000000001</v>
      </c>
      <c r="AK907" t="s">
        <v>554</v>
      </c>
      <c r="AL907">
        <v>-83.949107999999995</v>
      </c>
      <c r="AM907">
        <v>25</v>
      </c>
      <c r="AN907">
        <v>1550</v>
      </c>
      <c r="AO907" t="s">
        <v>118</v>
      </c>
      <c r="AP907">
        <v>90</v>
      </c>
      <c r="AQ907">
        <v>92</v>
      </c>
      <c r="AR907">
        <v>128</v>
      </c>
      <c r="AZ907">
        <v>300</v>
      </c>
      <c r="BA907">
        <v>1</v>
      </c>
      <c r="BB907" t="str">
        <f t="shared" si="41"/>
        <v xml:space="preserve">N162AM  </v>
      </c>
      <c r="BC907">
        <v>1</v>
      </c>
      <c r="BE907">
        <v>0</v>
      </c>
      <c r="BF907">
        <v>0</v>
      </c>
      <c r="BG907">
        <v>0</v>
      </c>
      <c r="BH907">
        <v>1825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>"14:46:34.175"</f>
        <v>14:46:34.175</v>
      </c>
      <c r="CJ907">
        <v>3</v>
      </c>
      <c r="CK907">
        <v>2</v>
      </c>
      <c r="CL907">
        <v>0</v>
      </c>
      <c r="CM907">
        <v>2</v>
      </c>
      <c r="CN907">
        <v>0</v>
      </c>
      <c r="CO907">
        <v>6</v>
      </c>
      <c r="CP907" t="s">
        <v>119</v>
      </c>
      <c r="CQ907">
        <v>232</v>
      </c>
      <c r="CR907">
        <v>2</v>
      </c>
      <c r="CW907">
        <v>6380244</v>
      </c>
      <c r="CY907">
        <v>1</v>
      </c>
      <c r="CZ907">
        <v>0</v>
      </c>
      <c r="DA907">
        <v>1</v>
      </c>
      <c r="DB907">
        <v>0</v>
      </c>
      <c r="DC907">
        <v>0</v>
      </c>
      <c r="DD907">
        <v>1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"12/16/2021 14:46:34.445"</f>
        <v>12/16/2021 14:46:34.445</v>
      </c>
      <c r="C908" t="str">
        <f t="shared" ref="C908:C971" si="43">"FFDFD3C0"</f>
        <v>FFDFD3C0</v>
      </c>
      <c r="D908" t="s">
        <v>113</v>
      </c>
      <c r="E908">
        <v>8</v>
      </c>
      <c r="H908">
        <v>176</v>
      </c>
      <c r="I908" t="s">
        <v>114</v>
      </c>
      <c r="J908" t="s">
        <v>115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"14:46:34.172"</f>
        <v>14:46:34.172</v>
      </c>
      <c r="T908" t="str">
        <f>"14:46:33.272"</f>
        <v>14:46:33.272</v>
      </c>
      <c r="U908" t="str">
        <f t="shared" si="42"/>
        <v>A0F928</v>
      </c>
      <c r="V908">
        <v>0</v>
      </c>
      <c r="W908">
        <v>0</v>
      </c>
      <c r="X908">
        <v>2</v>
      </c>
      <c r="Z908">
        <v>0</v>
      </c>
      <c r="AA908">
        <v>9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1</v>
      </c>
      <c r="AI908" t="s">
        <v>553</v>
      </c>
      <c r="AJ908">
        <v>35.819271000000001</v>
      </c>
      <c r="AK908" t="s">
        <v>554</v>
      </c>
      <c r="AL908">
        <v>-83.949107999999995</v>
      </c>
      <c r="AM908">
        <v>25</v>
      </c>
      <c r="AN908">
        <v>1550</v>
      </c>
      <c r="AO908" t="s">
        <v>118</v>
      </c>
      <c r="AP908">
        <v>90</v>
      </c>
      <c r="AQ908">
        <v>92</v>
      </c>
      <c r="AR908">
        <v>128</v>
      </c>
      <c r="AZ908">
        <v>300</v>
      </c>
      <c r="BA908">
        <v>1</v>
      </c>
      <c r="BB908" t="str">
        <f t="shared" ref="BB908:BB971" si="44">"N162AM  "</f>
        <v xml:space="preserve">N162AM  </v>
      </c>
      <c r="BC908">
        <v>1</v>
      </c>
      <c r="BE908">
        <v>0</v>
      </c>
      <c r="BF908">
        <v>0</v>
      </c>
      <c r="BG908">
        <v>0</v>
      </c>
      <c r="BH908">
        <v>1825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>"14:46:34.175"</f>
        <v>14:46:34.175</v>
      </c>
      <c r="CJ908">
        <v>3</v>
      </c>
      <c r="CK908">
        <v>2</v>
      </c>
      <c r="CL908">
        <v>0</v>
      </c>
      <c r="CM908">
        <v>2</v>
      </c>
      <c r="CN908">
        <v>0</v>
      </c>
      <c r="CO908">
        <v>6</v>
      </c>
      <c r="CP908" t="s">
        <v>119</v>
      </c>
      <c r="CQ908">
        <v>232</v>
      </c>
      <c r="CR908">
        <v>2</v>
      </c>
      <c r="CW908">
        <v>6380244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1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"12/16/2021 14:46:35.506"</f>
        <v>12/16/2021 14:46:35.506</v>
      </c>
      <c r="C909" t="str">
        <f t="shared" si="43"/>
        <v>FFDFD3C0</v>
      </c>
      <c r="D909" t="s">
        <v>124</v>
      </c>
      <c r="E909">
        <v>10</v>
      </c>
      <c r="F909">
        <v>1010</v>
      </c>
      <c r="G909" t="s">
        <v>130</v>
      </c>
      <c r="J909" t="s">
        <v>125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"14:46:35.258"</f>
        <v>14:46:35.258</v>
      </c>
      <c r="T909" t="str">
        <f>"14:46:34.758"</f>
        <v>14:46:34.758</v>
      </c>
      <c r="U909" t="str">
        <f t="shared" si="42"/>
        <v>A0F928</v>
      </c>
      <c r="V909">
        <v>0</v>
      </c>
      <c r="W909">
        <v>0</v>
      </c>
      <c r="X909">
        <v>2</v>
      </c>
      <c r="Z909">
        <v>0</v>
      </c>
      <c r="AA909">
        <v>9</v>
      </c>
      <c r="AB909">
        <v>3</v>
      </c>
      <c r="AC909">
        <v>0</v>
      </c>
      <c r="AD909">
        <v>10</v>
      </c>
      <c r="AE909">
        <v>0</v>
      </c>
      <c r="AF909">
        <v>0</v>
      </c>
      <c r="AG909">
        <v>2</v>
      </c>
      <c r="AH909">
        <v>1</v>
      </c>
      <c r="AI909" t="s">
        <v>555</v>
      </c>
      <c r="AJ909">
        <v>35.819721000000001</v>
      </c>
      <c r="AK909" t="s">
        <v>556</v>
      </c>
      <c r="AL909">
        <v>-83.948571999999999</v>
      </c>
      <c r="AM909">
        <v>25</v>
      </c>
      <c r="AN909">
        <v>1550</v>
      </c>
      <c r="AO909" t="s">
        <v>118</v>
      </c>
      <c r="AP909">
        <v>90</v>
      </c>
      <c r="AQ909">
        <v>90</v>
      </c>
      <c r="AR909">
        <v>192</v>
      </c>
      <c r="AZ909">
        <v>300</v>
      </c>
      <c r="BA909">
        <v>1</v>
      </c>
      <c r="BB909" t="str">
        <f t="shared" si="44"/>
        <v xml:space="preserve">N162AM  </v>
      </c>
      <c r="BC909">
        <v>1</v>
      </c>
      <c r="BE909">
        <v>0</v>
      </c>
      <c r="BF909">
        <v>0</v>
      </c>
      <c r="BG909">
        <v>0</v>
      </c>
      <c r="BH909">
        <v>1825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>"14:46:35.261"</f>
        <v>14:46:35.261</v>
      </c>
      <c r="CJ909">
        <v>2</v>
      </c>
      <c r="CK909">
        <v>2</v>
      </c>
      <c r="CL909">
        <v>0</v>
      </c>
      <c r="CM909">
        <v>2</v>
      </c>
      <c r="CN909">
        <v>0</v>
      </c>
      <c r="CO909">
        <v>6</v>
      </c>
      <c r="CP909" t="s">
        <v>119</v>
      </c>
      <c r="CQ909">
        <v>232</v>
      </c>
      <c r="CR909">
        <v>1</v>
      </c>
      <c r="CW909">
        <v>15189482</v>
      </c>
      <c r="CY909">
        <v>1</v>
      </c>
      <c r="CZ909">
        <v>0</v>
      </c>
      <c r="DA909">
        <v>0</v>
      </c>
      <c r="DB909">
        <v>0</v>
      </c>
      <c r="DC909">
        <v>0</v>
      </c>
      <c r="DD909">
        <v>1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"12/16/2021 14:46:35.506"</f>
        <v>12/16/2021 14:46:35.506</v>
      </c>
      <c r="C910" t="str">
        <f t="shared" si="43"/>
        <v>FFDFD3C0</v>
      </c>
      <c r="D910" t="s">
        <v>113</v>
      </c>
      <c r="E910">
        <v>8</v>
      </c>
      <c r="H910">
        <v>176</v>
      </c>
      <c r="I910" t="s">
        <v>114</v>
      </c>
      <c r="J910" t="s">
        <v>115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"14:46:35.258"</f>
        <v>14:46:35.258</v>
      </c>
      <c r="T910" t="str">
        <f>"14:46:34.758"</f>
        <v>14:46:34.758</v>
      </c>
      <c r="U910" t="str">
        <f t="shared" si="42"/>
        <v>A0F928</v>
      </c>
      <c r="V910">
        <v>0</v>
      </c>
      <c r="W910">
        <v>0</v>
      </c>
      <c r="X910">
        <v>2</v>
      </c>
      <c r="Z910">
        <v>0</v>
      </c>
      <c r="AA910">
        <v>9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1</v>
      </c>
      <c r="AI910" t="s">
        <v>555</v>
      </c>
      <c r="AJ910">
        <v>35.819721000000001</v>
      </c>
      <c r="AK910" t="s">
        <v>556</v>
      </c>
      <c r="AL910">
        <v>-83.948571999999999</v>
      </c>
      <c r="AM910">
        <v>25</v>
      </c>
      <c r="AN910">
        <v>1550</v>
      </c>
      <c r="AO910" t="s">
        <v>118</v>
      </c>
      <c r="AP910">
        <v>90</v>
      </c>
      <c r="AQ910">
        <v>90</v>
      </c>
      <c r="AR910">
        <v>192</v>
      </c>
      <c r="AZ910">
        <v>300</v>
      </c>
      <c r="BA910">
        <v>1</v>
      </c>
      <c r="BB910" t="str">
        <f t="shared" si="44"/>
        <v xml:space="preserve">N162AM  </v>
      </c>
      <c r="BC910">
        <v>1</v>
      </c>
      <c r="BE910">
        <v>0</v>
      </c>
      <c r="BF910">
        <v>0</v>
      </c>
      <c r="BG910">
        <v>0</v>
      </c>
      <c r="BH910">
        <v>1825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>"14:46:35.261"</f>
        <v>14:46:35.261</v>
      </c>
      <c r="CJ910">
        <v>3</v>
      </c>
      <c r="CK910">
        <v>2</v>
      </c>
      <c r="CL910">
        <v>0</v>
      </c>
      <c r="CM910">
        <v>2</v>
      </c>
      <c r="CN910">
        <v>0</v>
      </c>
      <c r="CO910">
        <v>6</v>
      </c>
      <c r="CP910" t="s">
        <v>119</v>
      </c>
      <c r="CQ910">
        <v>232</v>
      </c>
      <c r="CR910">
        <v>1</v>
      </c>
      <c r="CW910">
        <v>15189482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1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"12/16/2021 14:46:35.538"</f>
        <v>12/16/2021 14:46:35.538</v>
      </c>
      <c r="C911" t="str">
        <f t="shared" si="43"/>
        <v>FFDFD3C0</v>
      </c>
      <c r="D911" t="s">
        <v>124</v>
      </c>
      <c r="E911">
        <v>5</v>
      </c>
      <c r="F911">
        <v>1005</v>
      </c>
      <c r="G911" t="s">
        <v>114</v>
      </c>
      <c r="J911" t="s">
        <v>125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"14:46:35.258"</f>
        <v>14:46:35.258</v>
      </c>
      <c r="T911" t="str">
        <f>"14:46:34.758"</f>
        <v>14:46:34.758</v>
      </c>
      <c r="U911" t="str">
        <f t="shared" si="42"/>
        <v>A0F928</v>
      </c>
      <c r="V911">
        <v>0</v>
      </c>
      <c r="W911">
        <v>0</v>
      </c>
      <c r="X911">
        <v>2</v>
      </c>
      <c r="Z911">
        <v>0</v>
      </c>
      <c r="AA911">
        <v>9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1</v>
      </c>
      <c r="AI911" t="s">
        <v>555</v>
      </c>
      <c r="AJ911">
        <v>35.819721000000001</v>
      </c>
      <c r="AK911" t="s">
        <v>556</v>
      </c>
      <c r="AL911">
        <v>-83.948571999999999</v>
      </c>
      <c r="AM911">
        <v>25</v>
      </c>
      <c r="AN911">
        <v>1550</v>
      </c>
      <c r="AO911" t="s">
        <v>118</v>
      </c>
      <c r="AP911">
        <v>90</v>
      </c>
      <c r="AQ911">
        <v>90</v>
      </c>
      <c r="AR911">
        <v>192</v>
      </c>
      <c r="AZ911">
        <v>300</v>
      </c>
      <c r="BA911">
        <v>1</v>
      </c>
      <c r="BB911" t="str">
        <f t="shared" si="44"/>
        <v xml:space="preserve">N162AM  </v>
      </c>
      <c r="BC911">
        <v>1</v>
      </c>
      <c r="BE911">
        <v>0</v>
      </c>
      <c r="BF911">
        <v>0</v>
      </c>
      <c r="BG911">
        <v>0</v>
      </c>
      <c r="BH911">
        <v>1825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>"14:46:35.261"</f>
        <v>14:46:35.261</v>
      </c>
      <c r="CJ911">
        <v>3</v>
      </c>
      <c r="CK911">
        <v>2</v>
      </c>
      <c r="CL911">
        <v>0</v>
      </c>
      <c r="CM911">
        <v>2</v>
      </c>
      <c r="CN911">
        <v>0</v>
      </c>
      <c r="CO911">
        <v>6</v>
      </c>
      <c r="CP911" t="s">
        <v>119</v>
      </c>
      <c r="CQ911">
        <v>232</v>
      </c>
      <c r="CR911">
        <v>1</v>
      </c>
      <c r="CW911">
        <v>15189482</v>
      </c>
      <c r="CY911">
        <v>1</v>
      </c>
      <c r="CZ911">
        <v>0</v>
      </c>
      <c r="DA911">
        <v>1</v>
      </c>
      <c r="DB911">
        <v>0</v>
      </c>
      <c r="DC911">
        <v>0</v>
      </c>
      <c r="DD911">
        <v>1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"12/16/2021 14:46:35.538"</f>
        <v>12/16/2021 14:46:35.538</v>
      </c>
      <c r="C912" t="str">
        <f t="shared" si="43"/>
        <v>FFDFD3C0</v>
      </c>
      <c r="D912" t="s">
        <v>133</v>
      </c>
      <c r="E912">
        <v>44</v>
      </c>
      <c r="H912">
        <v>131</v>
      </c>
      <c r="I912" t="s">
        <v>134</v>
      </c>
      <c r="J912" t="s">
        <v>135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"14:46:35.258"</f>
        <v>14:46:35.258</v>
      </c>
      <c r="T912" t="str">
        <f>"14:46:34.758"</f>
        <v>14:46:34.758</v>
      </c>
      <c r="U912" t="str">
        <f t="shared" si="42"/>
        <v>A0F928</v>
      </c>
      <c r="V912">
        <v>0</v>
      </c>
      <c r="W912">
        <v>0</v>
      </c>
      <c r="X912">
        <v>2</v>
      </c>
      <c r="Z912">
        <v>0</v>
      </c>
      <c r="AA912">
        <v>9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1</v>
      </c>
      <c r="AI912" t="s">
        <v>555</v>
      </c>
      <c r="AJ912">
        <v>35.819721000000001</v>
      </c>
      <c r="AK912" t="s">
        <v>556</v>
      </c>
      <c r="AL912">
        <v>-83.948571999999999</v>
      </c>
      <c r="AM912">
        <v>25</v>
      </c>
      <c r="AN912">
        <v>1550</v>
      </c>
      <c r="AO912" t="s">
        <v>118</v>
      </c>
      <c r="AP912">
        <v>90</v>
      </c>
      <c r="AQ912">
        <v>90</v>
      </c>
      <c r="AR912">
        <v>192</v>
      </c>
      <c r="AZ912">
        <v>300</v>
      </c>
      <c r="BA912">
        <v>1</v>
      </c>
      <c r="BB912" t="str">
        <f t="shared" si="44"/>
        <v xml:space="preserve">N162AM  </v>
      </c>
      <c r="BC912">
        <v>1</v>
      </c>
      <c r="BE912">
        <v>0</v>
      </c>
      <c r="BF912">
        <v>0</v>
      </c>
      <c r="BG912">
        <v>0</v>
      </c>
      <c r="BH912">
        <v>1825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>"14:46:35.261"</f>
        <v>14:46:35.261</v>
      </c>
      <c r="CJ912">
        <v>3</v>
      </c>
      <c r="CK912">
        <v>2</v>
      </c>
      <c r="CL912">
        <v>0</v>
      </c>
      <c r="CM912">
        <v>2</v>
      </c>
      <c r="CN912">
        <v>0</v>
      </c>
      <c r="CO912">
        <v>6</v>
      </c>
      <c r="CP912" t="s">
        <v>119</v>
      </c>
      <c r="CQ912">
        <v>232</v>
      </c>
      <c r="CR912">
        <v>1</v>
      </c>
      <c r="CW912">
        <v>15189482</v>
      </c>
      <c r="CY912">
        <v>1</v>
      </c>
      <c r="CZ912">
        <v>0</v>
      </c>
      <c r="DA912">
        <v>1</v>
      </c>
      <c r="DB912">
        <v>0</v>
      </c>
      <c r="DC912">
        <v>0</v>
      </c>
      <c r="DD912">
        <v>1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"12/16/2021 14:46:36.569"</f>
        <v>12/16/2021 14:46:36.569</v>
      </c>
      <c r="C913" t="str">
        <f t="shared" si="43"/>
        <v>FFDFD3C0</v>
      </c>
      <c r="D913" t="s">
        <v>113</v>
      </c>
      <c r="E913">
        <v>8</v>
      </c>
      <c r="H913">
        <v>176</v>
      </c>
      <c r="I913" t="s">
        <v>114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"14:46:36.328"</f>
        <v>14:46:36.328</v>
      </c>
      <c r="T913" t="str">
        <f>"14:46:35.828"</f>
        <v>14:46:35.828</v>
      </c>
      <c r="U913" t="str">
        <f t="shared" si="42"/>
        <v>A0F928</v>
      </c>
      <c r="V913">
        <v>0</v>
      </c>
      <c r="W913">
        <v>0</v>
      </c>
      <c r="X913">
        <v>2</v>
      </c>
      <c r="Z913">
        <v>0</v>
      </c>
      <c r="AA913">
        <v>9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2</v>
      </c>
      <c r="AH913">
        <v>1</v>
      </c>
      <c r="AI913" t="s">
        <v>557</v>
      </c>
      <c r="AJ913">
        <v>35.820129000000001</v>
      </c>
      <c r="AK913" t="s">
        <v>558</v>
      </c>
      <c r="AL913">
        <v>-83.948057000000006</v>
      </c>
      <c r="AM913">
        <v>25</v>
      </c>
      <c r="AN913">
        <v>1550</v>
      </c>
      <c r="AO913" t="s">
        <v>118</v>
      </c>
      <c r="AP913">
        <v>90</v>
      </c>
      <c r="AQ913">
        <v>90</v>
      </c>
      <c r="AR913">
        <v>128</v>
      </c>
      <c r="AZ913">
        <v>300</v>
      </c>
      <c r="BA913">
        <v>1</v>
      </c>
      <c r="BB913" t="str">
        <f t="shared" si="44"/>
        <v xml:space="preserve">N162AM  </v>
      </c>
      <c r="BC913">
        <v>1</v>
      </c>
      <c r="BE913">
        <v>0</v>
      </c>
      <c r="BF913">
        <v>0</v>
      </c>
      <c r="BG913">
        <v>0</v>
      </c>
      <c r="BH913">
        <v>1800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>"14:46:36.336"</f>
        <v>14:46:36.336</v>
      </c>
      <c r="CJ913">
        <v>3</v>
      </c>
      <c r="CK913">
        <v>2</v>
      </c>
      <c r="CL913">
        <v>0</v>
      </c>
      <c r="CM913">
        <v>2</v>
      </c>
      <c r="CN913">
        <v>0</v>
      </c>
      <c r="CO913">
        <v>6</v>
      </c>
      <c r="CP913" t="s">
        <v>119</v>
      </c>
      <c r="CQ913">
        <v>232</v>
      </c>
      <c r="CR913">
        <v>1</v>
      </c>
      <c r="CW913">
        <v>15191052</v>
      </c>
      <c r="CY913">
        <v>1</v>
      </c>
      <c r="CZ913">
        <v>0</v>
      </c>
      <c r="DA913">
        <v>0</v>
      </c>
      <c r="DB913">
        <v>0</v>
      </c>
      <c r="DC913">
        <v>0</v>
      </c>
      <c r="DD913">
        <v>1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"12/16/2021 14:46:36.569"</f>
        <v>12/16/2021 14:46:36.569</v>
      </c>
      <c r="C914" t="str">
        <f t="shared" si="43"/>
        <v>FFDFD3C0</v>
      </c>
      <c r="D914" t="s">
        <v>124</v>
      </c>
      <c r="E914">
        <v>5</v>
      </c>
      <c r="F914">
        <v>1005</v>
      </c>
      <c r="G914" t="s">
        <v>114</v>
      </c>
      <c r="J914" t="s">
        <v>125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"14:46:36.328"</f>
        <v>14:46:36.328</v>
      </c>
      <c r="T914" t="str">
        <f>"14:46:35.828"</f>
        <v>14:46:35.828</v>
      </c>
      <c r="U914" t="str">
        <f t="shared" si="42"/>
        <v>A0F928</v>
      </c>
      <c r="V914">
        <v>0</v>
      </c>
      <c r="W914">
        <v>0</v>
      </c>
      <c r="X914">
        <v>2</v>
      </c>
      <c r="Z914">
        <v>0</v>
      </c>
      <c r="AA914">
        <v>9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2</v>
      </c>
      <c r="AH914">
        <v>1</v>
      </c>
      <c r="AI914" t="s">
        <v>557</v>
      </c>
      <c r="AJ914">
        <v>35.820129000000001</v>
      </c>
      <c r="AK914" t="s">
        <v>558</v>
      </c>
      <c r="AL914">
        <v>-83.948057000000006</v>
      </c>
      <c r="AM914">
        <v>25</v>
      </c>
      <c r="AN914">
        <v>1550</v>
      </c>
      <c r="AO914" t="s">
        <v>118</v>
      </c>
      <c r="AP914">
        <v>90</v>
      </c>
      <c r="AQ914">
        <v>90</v>
      </c>
      <c r="AR914">
        <v>128</v>
      </c>
      <c r="AZ914">
        <v>300</v>
      </c>
      <c r="BA914">
        <v>1</v>
      </c>
      <c r="BB914" t="str">
        <f t="shared" si="44"/>
        <v xml:space="preserve">N162AM  </v>
      </c>
      <c r="BC914">
        <v>1</v>
      </c>
      <c r="BE914">
        <v>0</v>
      </c>
      <c r="BF914">
        <v>0</v>
      </c>
      <c r="BG914">
        <v>0</v>
      </c>
      <c r="BH914">
        <v>1800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>"14:46:36.336"</f>
        <v>14:46:36.336</v>
      </c>
      <c r="CJ914">
        <v>3</v>
      </c>
      <c r="CK914">
        <v>2</v>
      </c>
      <c r="CL914">
        <v>0</v>
      </c>
      <c r="CM914">
        <v>2</v>
      </c>
      <c r="CN914">
        <v>0</v>
      </c>
      <c r="CO914">
        <v>6</v>
      </c>
      <c r="CP914" t="s">
        <v>119</v>
      </c>
      <c r="CQ914">
        <v>232</v>
      </c>
      <c r="CR914">
        <v>1</v>
      </c>
      <c r="CW914">
        <v>15191052</v>
      </c>
      <c r="CY914">
        <v>1</v>
      </c>
      <c r="CZ914">
        <v>0</v>
      </c>
      <c r="DA914">
        <v>1</v>
      </c>
      <c r="DB914">
        <v>0</v>
      </c>
      <c r="DC914">
        <v>0</v>
      </c>
      <c r="DD914">
        <v>1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"12/16/2021 14:46:36.569"</f>
        <v>12/16/2021 14:46:36.569</v>
      </c>
      <c r="C915" t="str">
        <f t="shared" si="43"/>
        <v>FFDFD3C0</v>
      </c>
      <c r="D915" t="s">
        <v>133</v>
      </c>
      <c r="E915">
        <v>44</v>
      </c>
      <c r="H915">
        <v>131</v>
      </c>
      <c r="I915" t="s">
        <v>134</v>
      </c>
      <c r="J915" t="s">
        <v>135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"14:46:36.328"</f>
        <v>14:46:36.328</v>
      </c>
      <c r="T915" t="str">
        <f>"14:46:35.828"</f>
        <v>14:46:35.828</v>
      </c>
      <c r="U915" t="str">
        <f t="shared" si="42"/>
        <v>A0F928</v>
      </c>
      <c r="V915">
        <v>0</v>
      </c>
      <c r="W915">
        <v>0</v>
      </c>
      <c r="X915">
        <v>2</v>
      </c>
      <c r="Z915">
        <v>0</v>
      </c>
      <c r="AA915">
        <v>9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2</v>
      </c>
      <c r="AH915">
        <v>1</v>
      </c>
      <c r="AI915" t="s">
        <v>557</v>
      </c>
      <c r="AJ915">
        <v>35.820129000000001</v>
      </c>
      <c r="AK915" t="s">
        <v>558</v>
      </c>
      <c r="AL915">
        <v>-83.948057000000006</v>
      </c>
      <c r="AM915">
        <v>25</v>
      </c>
      <c r="AN915">
        <v>1550</v>
      </c>
      <c r="AO915" t="s">
        <v>118</v>
      </c>
      <c r="AP915">
        <v>90</v>
      </c>
      <c r="AQ915">
        <v>90</v>
      </c>
      <c r="AR915">
        <v>128</v>
      </c>
      <c r="AZ915">
        <v>300</v>
      </c>
      <c r="BA915">
        <v>1</v>
      </c>
      <c r="BB915" t="str">
        <f t="shared" si="44"/>
        <v xml:space="preserve">N162AM  </v>
      </c>
      <c r="BC915">
        <v>1</v>
      </c>
      <c r="BE915">
        <v>0</v>
      </c>
      <c r="BF915">
        <v>0</v>
      </c>
      <c r="BG915">
        <v>0</v>
      </c>
      <c r="BH915">
        <v>1800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>"14:46:36.336"</f>
        <v>14:46:36.336</v>
      </c>
      <c r="CJ915">
        <v>3</v>
      </c>
      <c r="CK915">
        <v>2</v>
      </c>
      <c r="CL915">
        <v>0</v>
      </c>
      <c r="CM915">
        <v>2</v>
      </c>
      <c r="CN915">
        <v>0</v>
      </c>
      <c r="CO915">
        <v>6</v>
      </c>
      <c r="CP915" t="s">
        <v>119</v>
      </c>
      <c r="CQ915">
        <v>232</v>
      </c>
      <c r="CR915">
        <v>1</v>
      </c>
      <c r="CW915">
        <v>15191052</v>
      </c>
      <c r="CY915">
        <v>1</v>
      </c>
      <c r="CZ915">
        <v>0</v>
      </c>
      <c r="DA915">
        <v>1</v>
      </c>
      <c r="DB915">
        <v>0</v>
      </c>
      <c r="DC915">
        <v>0</v>
      </c>
      <c r="DD915">
        <v>1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"12/16/2021 14:46:36.569"</f>
        <v>12/16/2021 14:46:36.569</v>
      </c>
      <c r="C916" t="str">
        <f t="shared" si="43"/>
        <v>FFDFD3C0</v>
      </c>
      <c r="D916" t="s">
        <v>124</v>
      </c>
      <c r="E916">
        <v>10</v>
      </c>
      <c r="F916">
        <v>1010</v>
      </c>
      <c r="G916" t="s">
        <v>130</v>
      </c>
      <c r="J916" t="s">
        <v>125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"14:46:36.328"</f>
        <v>14:46:36.328</v>
      </c>
      <c r="T916" t="str">
        <f>"14:46:35.828"</f>
        <v>14:46:35.828</v>
      </c>
      <c r="U916" t="str">
        <f t="shared" si="42"/>
        <v>A0F928</v>
      </c>
      <c r="V916">
        <v>0</v>
      </c>
      <c r="W916">
        <v>0</v>
      </c>
      <c r="X916">
        <v>2</v>
      </c>
      <c r="Z916">
        <v>0</v>
      </c>
      <c r="AA916">
        <v>9</v>
      </c>
      <c r="AB916">
        <v>3</v>
      </c>
      <c r="AC916">
        <v>0</v>
      </c>
      <c r="AD916">
        <v>10</v>
      </c>
      <c r="AE916">
        <v>0</v>
      </c>
      <c r="AF916">
        <v>0</v>
      </c>
      <c r="AG916">
        <v>2</v>
      </c>
      <c r="AH916">
        <v>1</v>
      </c>
      <c r="AI916" t="s">
        <v>557</v>
      </c>
      <c r="AJ916">
        <v>35.820129000000001</v>
      </c>
      <c r="AK916" t="s">
        <v>558</v>
      </c>
      <c r="AL916">
        <v>-83.948057000000006</v>
      </c>
      <c r="AM916">
        <v>25</v>
      </c>
      <c r="AN916">
        <v>1550</v>
      </c>
      <c r="AO916" t="s">
        <v>118</v>
      </c>
      <c r="AP916">
        <v>90</v>
      </c>
      <c r="AQ916">
        <v>90</v>
      </c>
      <c r="AR916">
        <v>128</v>
      </c>
      <c r="AZ916">
        <v>300</v>
      </c>
      <c r="BA916">
        <v>1</v>
      </c>
      <c r="BB916" t="str">
        <f t="shared" si="44"/>
        <v xml:space="preserve">N162AM  </v>
      </c>
      <c r="BC916">
        <v>1</v>
      </c>
      <c r="BE916">
        <v>0</v>
      </c>
      <c r="BF916">
        <v>0</v>
      </c>
      <c r="BG916">
        <v>0</v>
      </c>
      <c r="BH916">
        <v>1800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>"14:46:36.336"</f>
        <v>14:46:36.336</v>
      </c>
      <c r="CJ916">
        <v>2</v>
      </c>
      <c r="CK916">
        <v>2</v>
      </c>
      <c r="CL916">
        <v>0</v>
      </c>
      <c r="CM916">
        <v>2</v>
      </c>
      <c r="CN916">
        <v>0</v>
      </c>
      <c r="CO916">
        <v>6</v>
      </c>
      <c r="CP916" t="s">
        <v>119</v>
      </c>
      <c r="CQ916">
        <v>232</v>
      </c>
      <c r="CR916">
        <v>1</v>
      </c>
      <c r="CW916">
        <v>15191052</v>
      </c>
      <c r="CY916">
        <v>1</v>
      </c>
      <c r="CZ916">
        <v>0</v>
      </c>
      <c r="DA916">
        <v>1</v>
      </c>
      <c r="DB916">
        <v>0</v>
      </c>
      <c r="DC916">
        <v>0</v>
      </c>
      <c r="DD916">
        <v>1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"12/16/2021 14:46:37.647"</f>
        <v>12/16/2021 14:46:37.647</v>
      </c>
      <c r="C917" t="str">
        <f t="shared" si="43"/>
        <v>FFDFD3C0</v>
      </c>
      <c r="D917" t="s">
        <v>124</v>
      </c>
      <c r="E917">
        <v>10</v>
      </c>
      <c r="F917">
        <v>1010</v>
      </c>
      <c r="G917" t="s">
        <v>130</v>
      </c>
      <c r="J917" t="s">
        <v>125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"14:46:37.461"</f>
        <v>14:46:37.461</v>
      </c>
      <c r="T917" t="str">
        <f>"14:46:36.961"</f>
        <v>14:46:36.961</v>
      </c>
      <c r="U917" t="str">
        <f t="shared" si="42"/>
        <v>A0F928</v>
      </c>
      <c r="V917">
        <v>0</v>
      </c>
      <c r="W917">
        <v>0</v>
      </c>
      <c r="X917">
        <v>2</v>
      </c>
      <c r="Z917">
        <v>0</v>
      </c>
      <c r="AA917">
        <v>9</v>
      </c>
      <c r="AB917">
        <v>3</v>
      </c>
      <c r="AC917">
        <v>0</v>
      </c>
      <c r="AD917">
        <v>10</v>
      </c>
      <c r="AE917">
        <v>0</v>
      </c>
      <c r="AF917">
        <v>0</v>
      </c>
      <c r="AG917">
        <v>2</v>
      </c>
      <c r="AH917">
        <v>1</v>
      </c>
      <c r="AI917" t="s">
        <v>559</v>
      </c>
      <c r="AJ917">
        <v>35.820601000000003</v>
      </c>
      <c r="AK917" t="s">
        <v>560</v>
      </c>
      <c r="AL917">
        <v>-83.947477000000006</v>
      </c>
      <c r="AM917">
        <v>25</v>
      </c>
      <c r="AN917">
        <v>1550</v>
      </c>
      <c r="AO917" t="s">
        <v>118</v>
      </c>
      <c r="AP917">
        <v>89</v>
      </c>
      <c r="AQ917">
        <v>88</v>
      </c>
      <c r="AR917">
        <v>64</v>
      </c>
      <c r="AZ917">
        <v>300</v>
      </c>
      <c r="BA917">
        <v>1</v>
      </c>
      <c r="BB917" t="str">
        <f t="shared" si="44"/>
        <v xml:space="preserve">N162AM  </v>
      </c>
      <c r="BC917">
        <v>1</v>
      </c>
      <c r="BE917">
        <v>0</v>
      </c>
      <c r="BF917">
        <v>0</v>
      </c>
      <c r="BG917">
        <v>0</v>
      </c>
      <c r="BH917">
        <v>1800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>"14:46:37.461"</f>
        <v>14:46:37.461</v>
      </c>
      <c r="CJ917">
        <v>2</v>
      </c>
      <c r="CK917">
        <v>2</v>
      </c>
      <c r="CL917">
        <v>0</v>
      </c>
      <c r="CM917">
        <v>2</v>
      </c>
      <c r="CN917">
        <v>0</v>
      </c>
      <c r="CO917">
        <v>6</v>
      </c>
      <c r="CP917" t="s">
        <v>119</v>
      </c>
      <c r="CQ917">
        <v>232</v>
      </c>
      <c r="CR917">
        <v>2</v>
      </c>
      <c r="CW917">
        <v>6385257</v>
      </c>
      <c r="CY917">
        <v>1</v>
      </c>
      <c r="CZ917">
        <v>0</v>
      </c>
      <c r="DA917">
        <v>0</v>
      </c>
      <c r="DB917">
        <v>0</v>
      </c>
      <c r="DC917">
        <v>0</v>
      </c>
      <c r="DD917">
        <v>1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"12/16/2021 14:46:37.678"</f>
        <v>12/16/2021 14:46:37.678</v>
      </c>
      <c r="C918" t="str">
        <f t="shared" si="43"/>
        <v>FFDFD3C0</v>
      </c>
      <c r="D918" t="s">
        <v>124</v>
      </c>
      <c r="E918">
        <v>5</v>
      </c>
      <c r="F918">
        <v>1005</v>
      </c>
      <c r="G918" t="s">
        <v>114</v>
      </c>
      <c r="J918" t="s">
        <v>125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"14:46:37.461"</f>
        <v>14:46:37.461</v>
      </c>
      <c r="T918" t="str">
        <f>"14:46:36.961"</f>
        <v>14:46:36.961</v>
      </c>
      <c r="U918" t="str">
        <f t="shared" si="42"/>
        <v>A0F928</v>
      </c>
      <c r="V918">
        <v>0</v>
      </c>
      <c r="W918">
        <v>0</v>
      </c>
      <c r="X918">
        <v>2</v>
      </c>
      <c r="Z918">
        <v>0</v>
      </c>
      <c r="AA918">
        <v>9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2</v>
      </c>
      <c r="AH918">
        <v>1</v>
      </c>
      <c r="AI918" t="s">
        <v>559</v>
      </c>
      <c r="AJ918">
        <v>35.820601000000003</v>
      </c>
      <c r="AK918" t="s">
        <v>560</v>
      </c>
      <c r="AL918">
        <v>-83.947477000000006</v>
      </c>
      <c r="AM918">
        <v>25</v>
      </c>
      <c r="AN918">
        <v>1550</v>
      </c>
      <c r="AO918" t="s">
        <v>118</v>
      </c>
      <c r="AP918">
        <v>89</v>
      </c>
      <c r="AQ918">
        <v>88</v>
      </c>
      <c r="AR918">
        <v>64</v>
      </c>
      <c r="AZ918">
        <v>300</v>
      </c>
      <c r="BA918">
        <v>1</v>
      </c>
      <c r="BB918" t="str">
        <f t="shared" si="44"/>
        <v xml:space="preserve">N162AM  </v>
      </c>
      <c r="BC918">
        <v>1</v>
      </c>
      <c r="BE918">
        <v>0</v>
      </c>
      <c r="BF918">
        <v>0</v>
      </c>
      <c r="BG918">
        <v>0</v>
      </c>
      <c r="BH918">
        <v>1800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>"14:46:37.461"</f>
        <v>14:46:37.461</v>
      </c>
      <c r="CJ918">
        <v>3</v>
      </c>
      <c r="CK918">
        <v>2</v>
      </c>
      <c r="CL918">
        <v>0</v>
      </c>
      <c r="CM918">
        <v>2</v>
      </c>
      <c r="CN918">
        <v>0</v>
      </c>
      <c r="CO918">
        <v>6</v>
      </c>
      <c r="CP918" t="s">
        <v>119</v>
      </c>
      <c r="CQ918">
        <v>232</v>
      </c>
      <c r="CR918">
        <v>2</v>
      </c>
      <c r="CW918">
        <v>6385257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1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"12/16/2021 14:46:37.694"</f>
        <v>12/16/2021 14:46:37.694</v>
      </c>
      <c r="C919" t="str">
        <f t="shared" si="43"/>
        <v>FFDFD3C0</v>
      </c>
      <c r="D919" t="s">
        <v>113</v>
      </c>
      <c r="E919">
        <v>8</v>
      </c>
      <c r="H919">
        <v>176</v>
      </c>
      <c r="I919" t="s">
        <v>114</v>
      </c>
      <c r="J919" t="s">
        <v>115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"14:46:37.461"</f>
        <v>14:46:37.461</v>
      </c>
      <c r="T919" t="str">
        <f>"14:46:36.961"</f>
        <v>14:46:36.961</v>
      </c>
      <c r="U919" t="str">
        <f t="shared" si="42"/>
        <v>A0F928</v>
      </c>
      <c r="V919">
        <v>0</v>
      </c>
      <c r="W919">
        <v>0</v>
      </c>
      <c r="X919">
        <v>2</v>
      </c>
      <c r="Z919">
        <v>0</v>
      </c>
      <c r="AA919">
        <v>9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2</v>
      </c>
      <c r="AH919">
        <v>1</v>
      </c>
      <c r="AI919" t="s">
        <v>559</v>
      </c>
      <c r="AJ919">
        <v>35.820601000000003</v>
      </c>
      <c r="AK919" t="s">
        <v>560</v>
      </c>
      <c r="AL919">
        <v>-83.947477000000006</v>
      </c>
      <c r="AM919">
        <v>25</v>
      </c>
      <c r="AN919">
        <v>1550</v>
      </c>
      <c r="AO919" t="s">
        <v>118</v>
      </c>
      <c r="AP919">
        <v>89</v>
      </c>
      <c r="AQ919">
        <v>88</v>
      </c>
      <c r="AR919">
        <v>64</v>
      </c>
      <c r="AZ919">
        <v>300</v>
      </c>
      <c r="BA919">
        <v>1</v>
      </c>
      <c r="BB919" t="str">
        <f t="shared" si="44"/>
        <v xml:space="preserve">N162AM  </v>
      </c>
      <c r="BC919">
        <v>1</v>
      </c>
      <c r="BE919">
        <v>0</v>
      </c>
      <c r="BF919">
        <v>0</v>
      </c>
      <c r="BG919">
        <v>0</v>
      </c>
      <c r="BH919">
        <v>1800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>"14:46:37.461"</f>
        <v>14:46:37.461</v>
      </c>
      <c r="CJ919">
        <v>3</v>
      </c>
      <c r="CK919">
        <v>2</v>
      </c>
      <c r="CL919">
        <v>0</v>
      </c>
      <c r="CM919">
        <v>2</v>
      </c>
      <c r="CN919">
        <v>0</v>
      </c>
      <c r="CO919">
        <v>6</v>
      </c>
      <c r="CP919" t="s">
        <v>119</v>
      </c>
      <c r="CQ919">
        <v>232</v>
      </c>
      <c r="CR919">
        <v>2</v>
      </c>
      <c r="CW919">
        <v>6385257</v>
      </c>
      <c r="CY919">
        <v>1</v>
      </c>
      <c r="CZ919">
        <v>0</v>
      </c>
      <c r="DA919">
        <v>1</v>
      </c>
      <c r="DB919">
        <v>0</v>
      </c>
      <c r="DC919">
        <v>0</v>
      </c>
      <c r="DD919">
        <v>1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"12/16/2021 14:46:37.694"</f>
        <v>12/16/2021 14:46:37.694</v>
      </c>
      <c r="C920" t="str">
        <f t="shared" si="43"/>
        <v>FFDFD3C0</v>
      </c>
      <c r="D920" t="s">
        <v>133</v>
      </c>
      <c r="E920">
        <v>44</v>
      </c>
      <c r="H920">
        <v>131</v>
      </c>
      <c r="I920" t="s">
        <v>134</v>
      </c>
      <c r="J920" t="s">
        <v>135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"14:46:37.461"</f>
        <v>14:46:37.461</v>
      </c>
      <c r="T920" t="str">
        <f>"14:46:36.961"</f>
        <v>14:46:36.961</v>
      </c>
      <c r="U920" t="str">
        <f t="shared" si="42"/>
        <v>A0F928</v>
      </c>
      <c r="V920">
        <v>0</v>
      </c>
      <c r="W920">
        <v>0</v>
      </c>
      <c r="X920">
        <v>2</v>
      </c>
      <c r="Z920">
        <v>0</v>
      </c>
      <c r="AA920">
        <v>9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2</v>
      </c>
      <c r="AH920">
        <v>1</v>
      </c>
      <c r="AI920" t="s">
        <v>559</v>
      </c>
      <c r="AJ920">
        <v>35.820601000000003</v>
      </c>
      <c r="AK920" t="s">
        <v>560</v>
      </c>
      <c r="AL920">
        <v>-83.947477000000006</v>
      </c>
      <c r="AM920">
        <v>25</v>
      </c>
      <c r="AN920">
        <v>1550</v>
      </c>
      <c r="AO920" t="s">
        <v>118</v>
      </c>
      <c r="AP920">
        <v>89</v>
      </c>
      <c r="AQ920">
        <v>88</v>
      </c>
      <c r="AR920">
        <v>64</v>
      </c>
      <c r="AZ920">
        <v>300</v>
      </c>
      <c r="BA920">
        <v>1</v>
      </c>
      <c r="BB920" t="str">
        <f t="shared" si="44"/>
        <v xml:space="preserve">N162AM  </v>
      </c>
      <c r="BC920">
        <v>1</v>
      </c>
      <c r="BE920">
        <v>0</v>
      </c>
      <c r="BF920">
        <v>0</v>
      </c>
      <c r="BG920">
        <v>0</v>
      </c>
      <c r="BH920">
        <v>1800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>"14:46:37.461"</f>
        <v>14:46:37.461</v>
      </c>
      <c r="CJ920">
        <v>3</v>
      </c>
      <c r="CK920">
        <v>2</v>
      </c>
      <c r="CL920">
        <v>0</v>
      </c>
      <c r="CM920">
        <v>2</v>
      </c>
      <c r="CN920">
        <v>0</v>
      </c>
      <c r="CO920">
        <v>6</v>
      </c>
      <c r="CP920" t="s">
        <v>119</v>
      </c>
      <c r="CQ920">
        <v>232</v>
      </c>
      <c r="CR920">
        <v>2</v>
      </c>
      <c r="CW920">
        <v>6385257</v>
      </c>
      <c r="CY920">
        <v>1</v>
      </c>
      <c r="CZ920">
        <v>0</v>
      </c>
      <c r="DA920">
        <v>1</v>
      </c>
      <c r="DB920">
        <v>0</v>
      </c>
      <c r="DC920">
        <v>0</v>
      </c>
      <c r="DD920">
        <v>1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"12/16/2021 14:46:38.616"</f>
        <v>12/16/2021 14:46:38.616</v>
      </c>
      <c r="C921" t="str">
        <f t="shared" si="43"/>
        <v>FFDFD3C0</v>
      </c>
      <c r="D921" t="s">
        <v>113</v>
      </c>
      <c r="E921">
        <v>8</v>
      </c>
      <c r="H921">
        <v>176</v>
      </c>
      <c r="I921" t="s">
        <v>114</v>
      </c>
      <c r="J921" t="s">
        <v>115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"14:46:38.422"</f>
        <v>14:46:38.422</v>
      </c>
      <c r="T921" t="str">
        <f>"14:46:38.022"</f>
        <v>14:46:38.022</v>
      </c>
      <c r="U921" t="str">
        <f t="shared" si="42"/>
        <v>A0F928</v>
      </c>
      <c r="V921">
        <v>0</v>
      </c>
      <c r="W921">
        <v>0</v>
      </c>
      <c r="X921">
        <v>2</v>
      </c>
      <c r="Z921">
        <v>0</v>
      </c>
      <c r="AA921">
        <v>9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2</v>
      </c>
      <c r="AH921">
        <v>1</v>
      </c>
      <c r="AI921" t="s">
        <v>561</v>
      </c>
      <c r="AJ921">
        <v>35.820965999999999</v>
      </c>
      <c r="AK921" t="s">
        <v>562</v>
      </c>
      <c r="AL921">
        <v>-83.946984</v>
      </c>
      <c r="AM921">
        <v>25</v>
      </c>
      <c r="AN921">
        <v>1550</v>
      </c>
      <c r="AO921" t="s">
        <v>118</v>
      </c>
      <c r="AP921">
        <v>89</v>
      </c>
      <c r="AQ921">
        <v>87</v>
      </c>
      <c r="AR921">
        <v>-64</v>
      </c>
      <c r="AZ921">
        <v>300</v>
      </c>
      <c r="BA921">
        <v>1</v>
      </c>
      <c r="BB921" t="str">
        <f t="shared" si="44"/>
        <v xml:space="preserve">N162AM  </v>
      </c>
      <c r="BC921">
        <v>1</v>
      </c>
      <c r="BE921">
        <v>0</v>
      </c>
      <c r="BF921">
        <v>0</v>
      </c>
      <c r="BG921">
        <v>0</v>
      </c>
      <c r="BH921">
        <v>1800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>"14:46:38.430"</f>
        <v>14:46:38.430</v>
      </c>
      <c r="CJ921">
        <v>3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119</v>
      </c>
      <c r="CQ921">
        <v>232</v>
      </c>
      <c r="CR921">
        <v>1</v>
      </c>
      <c r="CW921">
        <v>15194430</v>
      </c>
      <c r="CY921">
        <v>1</v>
      </c>
      <c r="CZ921">
        <v>0</v>
      </c>
      <c r="DA921">
        <v>0</v>
      </c>
      <c r="DB921">
        <v>0</v>
      </c>
      <c r="DC921">
        <v>0</v>
      </c>
      <c r="DD921">
        <v>1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"12/16/2021 14:46:38.647"</f>
        <v>12/16/2021 14:46:38.647</v>
      </c>
      <c r="C922" t="str">
        <f t="shared" si="43"/>
        <v>FFDFD3C0</v>
      </c>
      <c r="D922" t="s">
        <v>133</v>
      </c>
      <c r="E922">
        <v>44</v>
      </c>
      <c r="H922">
        <v>131</v>
      </c>
      <c r="I922" t="s">
        <v>134</v>
      </c>
      <c r="J922" t="s">
        <v>135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"14:46:38.422"</f>
        <v>14:46:38.422</v>
      </c>
      <c r="T922" t="str">
        <f>"14:46:38.022"</f>
        <v>14:46:38.022</v>
      </c>
      <c r="U922" t="str">
        <f t="shared" si="42"/>
        <v>A0F928</v>
      </c>
      <c r="V922">
        <v>0</v>
      </c>
      <c r="W922">
        <v>0</v>
      </c>
      <c r="X922">
        <v>2</v>
      </c>
      <c r="Z922">
        <v>0</v>
      </c>
      <c r="AA922">
        <v>9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2</v>
      </c>
      <c r="AH922">
        <v>1</v>
      </c>
      <c r="AI922" t="s">
        <v>561</v>
      </c>
      <c r="AJ922">
        <v>35.820965999999999</v>
      </c>
      <c r="AK922" t="s">
        <v>562</v>
      </c>
      <c r="AL922">
        <v>-83.946984</v>
      </c>
      <c r="AM922">
        <v>25</v>
      </c>
      <c r="AN922">
        <v>1550</v>
      </c>
      <c r="AO922" t="s">
        <v>118</v>
      </c>
      <c r="AP922">
        <v>89</v>
      </c>
      <c r="AQ922">
        <v>87</v>
      </c>
      <c r="AR922">
        <v>-64</v>
      </c>
      <c r="AZ922">
        <v>300</v>
      </c>
      <c r="BA922">
        <v>1</v>
      </c>
      <c r="BB922" t="str">
        <f t="shared" si="44"/>
        <v xml:space="preserve">N162AM  </v>
      </c>
      <c r="BC922">
        <v>1</v>
      </c>
      <c r="BE922">
        <v>0</v>
      </c>
      <c r="BF922">
        <v>0</v>
      </c>
      <c r="BG922">
        <v>0</v>
      </c>
      <c r="BH922">
        <v>1800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>"14:46:38.430"</f>
        <v>14:46:38.430</v>
      </c>
      <c r="CJ922">
        <v>3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119</v>
      </c>
      <c r="CQ922">
        <v>232</v>
      </c>
      <c r="CR922">
        <v>1</v>
      </c>
      <c r="CW922">
        <v>15194430</v>
      </c>
      <c r="CY922">
        <v>1</v>
      </c>
      <c r="CZ922">
        <v>0</v>
      </c>
      <c r="DA922">
        <v>1</v>
      </c>
      <c r="DB922">
        <v>0</v>
      </c>
      <c r="DC922">
        <v>0</v>
      </c>
      <c r="DD922">
        <v>1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"12/16/2021 14:46:38.679"</f>
        <v>12/16/2021 14:46:38.679</v>
      </c>
      <c r="C923" t="str">
        <f t="shared" si="43"/>
        <v>FFDFD3C0</v>
      </c>
      <c r="D923" t="s">
        <v>124</v>
      </c>
      <c r="E923">
        <v>10</v>
      </c>
      <c r="F923">
        <v>1010</v>
      </c>
      <c r="G923" t="s">
        <v>130</v>
      </c>
      <c r="J923" t="s">
        <v>125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"14:46:38.422"</f>
        <v>14:46:38.422</v>
      </c>
      <c r="T923" t="str">
        <f>"14:46:38.022"</f>
        <v>14:46:38.022</v>
      </c>
      <c r="U923" t="str">
        <f t="shared" si="42"/>
        <v>A0F928</v>
      </c>
      <c r="V923">
        <v>0</v>
      </c>
      <c r="W923">
        <v>0</v>
      </c>
      <c r="X923">
        <v>2</v>
      </c>
      <c r="Z923">
        <v>0</v>
      </c>
      <c r="AA923">
        <v>9</v>
      </c>
      <c r="AB923">
        <v>3</v>
      </c>
      <c r="AC923">
        <v>0</v>
      </c>
      <c r="AD923">
        <v>10</v>
      </c>
      <c r="AE923">
        <v>0</v>
      </c>
      <c r="AF923">
        <v>0</v>
      </c>
      <c r="AG923">
        <v>2</v>
      </c>
      <c r="AH923">
        <v>1</v>
      </c>
      <c r="AI923" t="s">
        <v>561</v>
      </c>
      <c r="AJ923">
        <v>35.820965999999999</v>
      </c>
      <c r="AK923" t="s">
        <v>562</v>
      </c>
      <c r="AL923">
        <v>-83.946984</v>
      </c>
      <c r="AM923">
        <v>25</v>
      </c>
      <c r="AN923">
        <v>1550</v>
      </c>
      <c r="AO923" t="s">
        <v>118</v>
      </c>
      <c r="AP923">
        <v>89</v>
      </c>
      <c r="AQ923">
        <v>87</v>
      </c>
      <c r="AR923">
        <v>-64</v>
      </c>
      <c r="AZ923">
        <v>300</v>
      </c>
      <c r="BA923">
        <v>1</v>
      </c>
      <c r="BB923" t="str">
        <f t="shared" si="44"/>
        <v xml:space="preserve">N162AM  </v>
      </c>
      <c r="BC923">
        <v>1</v>
      </c>
      <c r="BE923">
        <v>0</v>
      </c>
      <c r="BF923">
        <v>0</v>
      </c>
      <c r="BG923">
        <v>0</v>
      </c>
      <c r="BH923">
        <v>1800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>"14:46:38.430"</f>
        <v>14:46:38.430</v>
      </c>
      <c r="CJ923">
        <v>2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119</v>
      </c>
      <c r="CQ923">
        <v>232</v>
      </c>
      <c r="CR923">
        <v>1</v>
      </c>
      <c r="CW923">
        <v>15194430</v>
      </c>
      <c r="CY923">
        <v>1</v>
      </c>
      <c r="CZ923">
        <v>0</v>
      </c>
      <c r="DA923">
        <v>1</v>
      </c>
      <c r="DB923">
        <v>0</v>
      </c>
      <c r="DC923">
        <v>0</v>
      </c>
      <c r="DD923">
        <v>1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"12/16/2021 14:46:38.679"</f>
        <v>12/16/2021 14:46:38.679</v>
      </c>
      <c r="C924" t="str">
        <f t="shared" si="43"/>
        <v>FFDFD3C0</v>
      </c>
      <c r="D924" t="s">
        <v>124</v>
      </c>
      <c r="E924">
        <v>5</v>
      </c>
      <c r="F924">
        <v>1005</v>
      </c>
      <c r="G924" t="s">
        <v>114</v>
      </c>
      <c r="J924" t="s">
        <v>125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"14:46:38.422"</f>
        <v>14:46:38.422</v>
      </c>
      <c r="T924" t="str">
        <f>"14:46:38.022"</f>
        <v>14:46:38.022</v>
      </c>
      <c r="U924" t="str">
        <f t="shared" si="42"/>
        <v>A0F928</v>
      </c>
      <c r="V924">
        <v>0</v>
      </c>
      <c r="W924">
        <v>0</v>
      </c>
      <c r="X924">
        <v>2</v>
      </c>
      <c r="Z924">
        <v>0</v>
      </c>
      <c r="AA924">
        <v>9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2</v>
      </c>
      <c r="AH924">
        <v>1</v>
      </c>
      <c r="AI924" t="s">
        <v>561</v>
      </c>
      <c r="AJ924">
        <v>35.820965999999999</v>
      </c>
      <c r="AK924" t="s">
        <v>562</v>
      </c>
      <c r="AL924">
        <v>-83.946984</v>
      </c>
      <c r="AM924">
        <v>25</v>
      </c>
      <c r="AN924">
        <v>1550</v>
      </c>
      <c r="AO924" t="s">
        <v>118</v>
      </c>
      <c r="AP924">
        <v>89</v>
      </c>
      <c r="AQ924">
        <v>87</v>
      </c>
      <c r="AR924">
        <v>-64</v>
      </c>
      <c r="AZ924">
        <v>300</v>
      </c>
      <c r="BA924">
        <v>1</v>
      </c>
      <c r="BB924" t="str">
        <f t="shared" si="44"/>
        <v xml:space="preserve">N162AM  </v>
      </c>
      <c r="BC924">
        <v>1</v>
      </c>
      <c r="BE924">
        <v>0</v>
      </c>
      <c r="BF924">
        <v>0</v>
      </c>
      <c r="BG924">
        <v>0</v>
      </c>
      <c r="BH924">
        <v>1800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>"14:46:38.430"</f>
        <v>14:46:38.430</v>
      </c>
      <c r="CJ924">
        <v>3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119</v>
      </c>
      <c r="CQ924">
        <v>232</v>
      </c>
      <c r="CR924">
        <v>1</v>
      </c>
      <c r="CW924">
        <v>15194430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1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"12/16/2021 14:46:39.609"</f>
        <v>12/16/2021 14:46:39.609</v>
      </c>
      <c r="C925" t="str">
        <f t="shared" si="43"/>
        <v>FFDFD3C0</v>
      </c>
      <c r="D925" t="s">
        <v>124</v>
      </c>
      <c r="E925">
        <v>10</v>
      </c>
      <c r="F925">
        <v>1010</v>
      </c>
      <c r="G925" t="s">
        <v>130</v>
      </c>
      <c r="J925" t="s">
        <v>125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"14:46:39.414"</f>
        <v>14:46:39.414</v>
      </c>
      <c r="T925" t="str">
        <f>"14:46:39.014"</f>
        <v>14:46:39.014</v>
      </c>
      <c r="U925" t="str">
        <f t="shared" si="42"/>
        <v>A0F928</v>
      </c>
      <c r="V925">
        <v>0</v>
      </c>
      <c r="W925">
        <v>0</v>
      </c>
      <c r="X925">
        <v>2</v>
      </c>
      <c r="Z925">
        <v>0</v>
      </c>
      <c r="AA925">
        <v>9</v>
      </c>
      <c r="AB925">
        <v>3</v>
      </c>
      <c r="AC925">
        <v>0</v>
      </c>
      <c r="AD925">
        <v>10</v>
      </c>
      <c r="AE925">
        <v>0</v>
      </c>
      <c r="AF925">
        <v>0</v>
      </c>
      <c r="AG925">
        <v>2</v>
      </c>
      <c r="AH925">
        <v>1</v>
      </c>
      <c r="AI925" t="s">
        <v>563</v>
      </c>
      <c r="AJ925">
        <v>35.821373000000001</v>
      </c>
      <c r="AK925" t="s">
        <v>564</v>
      </c>
      <c r="AL925">
        <v>-83.946468999999993</v>
      </c>
      <c r="AM925">
        <v>25</v>
      </c>
      <c r="AN925">
        <v>1550</v>
      </c>
      <c r="AO925" t="s">
        <v>118</v>
      </c>
      <c r="AP925">
        <v>89</v>
      </c>
      <c r="AQ925">
        <v>87</v>
      </c>
      <c r="AR925">
        <v>-192</v>
      </c>
      <c r="AZ925">
        <v>300</v>
      </c>
      <c r="BA925">
        <v>1</v>
      </c>
      <c r="BB925" t="str">
        <f t="shared" si="44"/>
        <v xml:space="preserve">N162AM  </v>
      </c>
      <c r="BC925">
        <v>1</v>
      </c>
      <c r="BE925">
        <v>0</v>
      </c>
      <c r="BF925">
        <v>0</v>
      </c>
      <c r="BG925">
        <v>0</v>
      </c>
      <c r="BH925">
        <v>1800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>"14:46:39.414"</f>
        <v>14:46:39.414</v>
      </c>
      <c r="CJ925">
        <v>2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232</v>
      </c>
      <c r="CR925">
        <v>1</v>
      </c>
      <c r="CW925">
        <v>15195886</v>
      </c>
      <c r="CY925">
        <v>1</v>
      </c>
      <c r="CZ925">
        <v>0</v>
      </c>
      <c r="DA925">
        <v>0</v>
      </c>
      <c r="DB925">
        <v>0</v>
      </c>
      <c r="DC925">
        <v>0</v>
      </c>
      <c r="DD925">
        <v>1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"12/16/2021 14:46:39.611"</f>
        <v>12/16/2021 14:46:39.611</v>
      </c>
      <c r="C926" t="str">
        <f t="shared" si="43"/>
        <v>FFDFD3C0</v>
      </c>
      <c r="D926" t="s">
        <v>124</v>
      </c>
      <c r="E926">
        <v>5</v>
      </c>
      <c r="F926">
        <v>1005</v>
      </c>
      <c r="G926" t="s">
        <v>114</v>
      </c>
      <c r="J926" t="s">
        <v>125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"14:46:39.414"</f>
        <v>14:46:39.414</v>
      </c>
      <c r="T926" t="str">
        <f>"14:46:39.014"</f>
        <v>14:46:39.014</v>
      </c>
      <c r="U926" t="str">
        <f t="shared" si="42"/>
        <v>A0F928</v>
      </c>
      <c r="V926">
        <v>0</v>
      </c>
      <c r="W926">
        <v>0</v>
      </c>
      <c r="X926">
        <v>2</v>
      </c>
      <c r="Z926">
        <v>0</v>
      </c>
      <c r="AA926">
        <v>9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2</v>
      </c>
      <c r="AH926">
        <v>1</v>
      </c>
      <c r="AI926" t="s">
        <v>563</v>
      </c>
      <c r="AJ926">
        <v>35.821373000000001</v>
      </c>
      <c r="AK926" t="s">
        <v>564</v>
      </c>
      <c r="AL926">
        <v>-83.946468999999993</v>
      </c>
      <c r="AM926">
        <v>25</v>
      </c>
      <c r="AN926">
        <v>1550</v>
      </c>
      <c r="AO926" t="s">
        <v>118</v>
      </c>
      <c r="AP926">
        <v>89</v>
      </c>
      <c r="AQ926">
        <v>87</v>
      </c>
      <c r="AR926">
        <v>-192</v>
      </c>
      <c r="AZ926">
        <v>300</v>
      </c>
      <c r="BA926">
        <v>1</v>
      </c>
      <c r="BB926" t="str">
        <f t="shared" si="44"/>
        <v xml:space="preserve">N162AM  </v>
      </c>
      <c r="BC926">
        <v>1</v>
      </c>
      <c r="BE926">
        <v>0</v>
      </c>
      <c r="BF926">
        <v>0</v>
      </c>
      <c r="BG926">
        <v>0</v>
      </c>
      <c r="BH926">
        <v>1800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>"14:46:39.414"</f>
        <v>14:46:39.414</v>
      </c>
      <c r="CJ926">
        <v>3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232</v>
      </c>
      <c r="CR926">
        <v>1</v>
      </c>
      <c r="CW926">
        <v>15195886</v>
      </c>
      <c r="CY926">
        <v>1</v>
      </c>
      <c r="CZ926">
        <v>0</v>
      </c>
      <c r="DA926">
        <v>1</v>
      </c>
      <c r="DB926">
        <v>0</v>
      </c>
      <c r="DC926">
        <v>0</v>
      </c>
      <c r="DD926">
        <v>1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"12/16/2021 14:46:39.647"</f>
        <v>12/16/2021 14:46:39.647</v>
      </c>
      <c r="C927" t="str">
        <f t="shared" si="43"/>
        <v>FFDFD3C0</v>
      </c>
      <c r="D927" t="s">
        <v>113</v>
      </c>
      <c r="E927">
        <v>8</v>
      </c>
      <c r="H927">
        <v>176</v>
      </c>
      <c r="I927" t="s">
        <v>114</v>
      </c>
      <c r="J927" t="s">
        <v>115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"14:46:39.414"</f>
        <v>14:46:39.414</v>
      </c>
      <c r="T927" t="str">
        <f>"14:46:39.014"</f>
        <v>14:46:39.014</v>
      </c>
      <c r="U927" t="str">
        <f t="shared" si="42"/>
        <v>A0F928</v>
      </c>
      <c r="V927">
        <v>0</v>
      </c>
      <c r="W927">
        <v>0</v>
      </c>
      <c r="X927">
        <v>2</v>
      </c>
      <c r="Z927">
        <v>0</v>
      </c>
      <c r="AA927">
        <v>9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2</v>
      </c>
      <c r="AH927">
        <v>1</v>
      </c>
      <c r="AI927" t="s">
        <v>563</v>
      </c>
      <c r="AJ927">
        <v>35.821373000000001</v>
      </c>
      <c r="AK927" t="s">
        <v>564</v>
      </c>
      <c r="AL927">
        <v>-83.946468999999993</v>
      </c>
      <c r="AM927">
        <v>25</v>
      </c>
      <c r="AN927">
        <v>1550</v>
      </c>
      <c r="AO927" t="s">
        <v>118</v>
      </c>
      <c r="AP927">
        <v>89</v>
      </c>
      <c r="AQ927">
        <v>87</v>
      </c>
      <c r="AR927">
        <v>-192</v>
      </c>
      <c r="AZ927">
        <v>300</v>
      </c>
      <c r="BA927">
        <v>1</v>
      </c>
      <c r="BB927" t="str">
        <f t="shared" si="44"/>
        <v xml:space="preserve">N162AM  </v>
      </c>
      <c r="BC927">
        <v>1</v>
      </c>
      <c r="BE927">
        <v>0</v>
      </c>
      <c r="BF927">
        <v>0</v>
      </c>
      <c r="BG927">
        <v>0</v>
      </c>
      <c r="BH927">
        <v>1800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>"14:46:39.414"</f>
        <v>14:46:39.414</v>
      </c>
      <c r="CJ927">
        <v>3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232</v>
      </c>
      <c r="CR927">
        <v>1</v>
      </c>
      <c r="CW927">
        <v>15195886</v>
      </c>
      <c r="CY927">
        <v>1</v>
      </c>
      <c r="CZ927">
        <v>0</v>
      </c>
      <c r="DA927">
        <v>1</v>
      </c>
      <c r="DB927">
        <v>0</v>
      </c>
      <c r="DC927">
        <v>0</v>
      </c>
      <c r="DD927">
        <v>1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"12/16/2021 14:46:39.647"</f>
        <v>12/16/2021 14:46:39.647</v>
      </c>
      <c r="C928" t="str">
        <f t="shared" si="43"/>
        <v>FFDFD3C0</v>
      </c>
      <c r="D928" t="s">
        <v>133</v>
      </c>
      <c r="E928">
        <v>44</v>
      </c>
      <c r="H928">
        <v>131</v>
      </c>
      <c r="I928" t="s">
        <v>134</v>
      </c>
      <c r="J928" t="s">
        <v>135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"14:46:39.414"</f>
        <v>14:46:39.414</v>
      </c>
      <c r="T928" t="str">
        <f>"14:46:39.014"</f>
        <v>14:46:39.014</v>
      </c>
      <c r="U928" t="str">
        <f t="shared" si="42"/>
        <v>A0F928</v>
      </c>
      <c r="V928">
        <v>0</v>
      </c>
      <c r="W928">
        <v>0</v>
      </c>
      <c r="X928">
        <v>2</v>
      </c>
      <c r="Z928">
        <v>0</v>
      </c>
      <c r="AA928">
        <v>9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2</v>
      </c>
      <c r="AH928">
        <v>1</v>
      </c>
      <c r="AI928" t="s">
        <v>563</v>
      </c>
      <c r="AJ928">
        <v>35.821373000000001</v>
      </c>
      <c r="AK928" t="s">
        <v>564</v>
      </c>
      <c r="AL928">
        <v>-83.946468999999993</v>
      </c>
      <c r="AM928">
        <v>25</v>
      </c>
      <c r="AN928">
        <v>1550</v>
      </c>
      <c r="AO928" t="s">
        <v>118</v>
      </c>
      <c r="AP928">
        <v>89</v>
      </c>
      <c r="AQ928">
        <v>87</v>
      </c>
      <c r="AR928">
        <v>-192</v>
      </c>
      <c r="AZ928">
        <v>300</v>
      </c>
      <c r="BA928">
        <v>1</v>
      </c>
      <c r="BB928" t="str">
        <f t="shared" si="44"/>
        <v xml:space="preserve">N162AM  </v>
      </c>
      <c r="BC928">
        <v>1</v>
      </c>
      <c r="BE928">
        <v>0</v>
      </c>
      <c r="BF928">
        <v>0</v>
      </c>
      <c r="BG928">
        <v>0</v>
      </c>
      <c r="BH928">
        <v>1800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>"14:46:39.414"</f>
        <v>14:46:39.414</v>
      </c>
      <c r="CJ928">
        <v>3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232</v>
      </c>
      <c r="CR928">
        <v>1</v>
      </c>
      <c r="CW928">
        <v>15195886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1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"12/16/2021 14:46:40.647"</f>
        <v>12/16/2021 14:46:40.647</v>
      </c>
      <c r="C929" t="str">
        <f t="shared" si="43"/>
        <v>FFDFD3C0</v>
      </c>
      <c r="D929" t="s">
        <v>113</v>
      </c>
      <c r="E929">
        <v>8</v>
      </c>
      <c r="H929">
        <v>176</v>
      </c>
      <c r="I929" t="s">
        <v>114</v>
      </c>
      <c r="J929" t="s">
        <v>115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"14:46:40.461"</f>
        <v>14:46:40.461</v>
      </c>
      <c r="T929" t="str">
        <f>"14:46:39.961"</f>
        <v>14:46:39.961</v>
      </c>
      <c r="U929" t="str">
        <f t="shared" si="42"/>
        <v>A0F928</v>
      </c>
      <c r="V929">
        <v>0</v>
      </c>
      <c r="W929">
        <v>0</v>
      </c>
      <c r="X929">
        <v>2</v>
      </c>
      <c r="Z929">
        <v>0</v>
      </c>
      <c r="AA929">
        <v>9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2</v>
      </c>
      <c r="AH929">
        <v>1</v>
      </c>
      <c r="AI929" t="s">
        <v>565</v>
      </c>
      <c r="AJ929">
        <v>35.821803000000003</v>
      </c>
      <c r="AK929" t="s">
        <v>566</v>
      </c>
      <c r="AL929">
        <v>-83.945954</v>
      </c>
      <c r="AM929">
        <v>25</v>
      </c>
      <c r="AN929">
        <v>1550</v>
      </c>
      <c r="AO929" t="s">
        <v>118</v>
      </c>
      <c r="AP929">
        <v>89</v>
      </c>
      <c r="AQ929">
        <v>86</v>
      </c>
      <c r="AR929">
        <v>-256</v>
      </c>
      <c r="AZ929">
        <v>300</v>
      </c>
      <c r="BA929">
        <v>1</v>
      </c>
      <c r="BB929" t="str">
        <f t="shared" si="44"/>
        <v xml:space="preserve">N162AM  </v>
      </c>
      <c r="BC929">
        <v>1</v>
      </c>
      <c r="BE929">
        <v>0</v>
      </c>
      <c r="BF929">
        <v>0</v>
      </c>
      <c r="BG929">
        <v>0</v>
      </c>
      <c r="BH929">
        <v>1825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>"14:46:40.466"</f>
        <v>14:46:40.466</v>
      </c>
      <c r="CJ929">
        <v>3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232</v>
      </c>
      <c r="CR929">
        <v>1</v>
      </c>
      <c r="CW929">
        <v>15197505</v>
      </c>
      <c r="CY929">
        <v>1</v>
      </c>
      <c r="CZ929">
        <v>0</v>
      </c>
      <c r="DA929">
        <v>0</v>
      </c>
      <c r="DB929">
        <v>0</v>
      </c>
      <c r="DC929">
        <v>0</v>
      </c>
      <c r="DD929">
        <v>1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"12/16/2021 14:46:40.647"</f>
        <v>12/16/2021 14:46:40.647</v>
      </c>
      <c r="C930" t="str">
        <f t="shared" si="43"/>
        <v>FFDFD3C0</v>
      </c>
      <c r="D930" t="s">
        <v>133</v>
      </c>
      <c r="E930">
        <v>44</v>
      </c>
      <c r="H930">
        <v>131</v>
      </c>
      <c r="I930" t="s">
        <v>134</v>
      </c>
      <c r="J930" t="s">
        <v>135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"14:46:40.461"</f>
        <v>14:46:40.461</v>
      </c>
      <c r="T930" t="str">
        <f>"14:46:39.961"</f>
        <v>14:46:39.961</v>
      </c>
      <c r="U930" t="str">
        <f t="shared" si="42"/>
        <v>A0F928</v>
      </c>
      <c r="V930">
        <v>0</v>
      </c>
      <c r="W930">
        <v>0</v>
      </c>
      <c r="X930">
        <v>2</v>
      </c>
      <c r="Z930">
        <v>0</v>
      </c>
      <c r="AA930">
        <v>9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2</v>
      </c>
      <c r="AH930">
        <v>1</v>
      </c>
      <c r="AI930" t="s">
        <v>565</v>
      </c>
      <c r="AJ930">
        <v>35.821803000000003</v>
      </c>
      <c r="AK930" t="s">
        <v>566</v>
      </c>
      <c r="AL930">
        <v>-83.945954</v>
      </c>
      <c r="AM930">
        <v>25</v>
      </c>
      <c r="AN930">
        <v>1550</v>
      </c>
      <c r="AO930" t="s">
        <v>118</v>
      </c>
      <c r="AP930">
        <v>89</v>
      </c>
      <c r="AQ930">
        <v>86</v>
      </c>
      <c r="AR930">
        <v>-256</v>
      </c>
      <c r="AZ930">
        <v>300</v>
      </c>
      <c r="BA930">
        <v>1</v>
      </c>
      <c r="BB930" t="str">
        <f t="shared" si="44"/>
        <v xml:space="preserve">N162AM  </v>
      </c>
      <c r="BC930">
        <v>1</v>
      </c>
      <c r="BE930">
        <v>0</v>
      </c>
      <c r="BF930">
        <v>0</v>
      </c>
      <c r="BG930">
        <v>0</v>
      </c>
      <c r="BH930">
        <v>1825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>"14:46:40.466"</f>
        <v>14:46:40.466</v>
      </c>
      <c r="CJ930">
        <v>3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232</v>
      </c>
      <c r="CR930">
        <v>1</v>
      </c>
      <c r="CW930">
        <v>15197505</v>
      </c>
      <c r="CY930">
        <v>1</v>
      </c>
      <c r="CZ930">
        <v>0</v>
      </c>
      <c r="DA930">
        <v>1</v>
      </c>
      <c r="DB930">
        <v>0</v>
      </c>
      <c r="DC930">
        <v>0</v>
      </c>
      <c r="DD930">
        <v>1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"12/16/2021 14:46:40.663"</f>
        <v>12/16/2021 14:46:40.663</v>
      </c>
      <c r="C931" t="str">
        <f t="shared" si="43"/>
        <v>FFDFD3C0</v>
      </c>
      <c r="D931" t="s">
        <v>124</v>
      </c>
      <c r="E931">
        <v>10</v>
      </c>
      <c r="F931">
        <v>1010</v>
      </c>
      <c r="G931" t="s">
        <v>130</v>
      </c>
      <c r="J931" t="s">
        <v>125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"14:46:40.461"</f>
        <v>14:46:40.461</v>
      </c>
      <c r="T931" t="str">
        <f>"14:46:39.961"</f>
        <v>14:46:39.961</v>
      </c>
      <c r="U931" t="str">
        <f t="shared" si="42"/>
        <v>A0F928</v>
      </c>
      <c r="V931">
        <v>0</v>
      </c>
      <c r="W931">
        <v>0</v>
      </c>
      <c r="X931">
        <v>2</v>
      </c>
      <c r="Z931">
        <v>0</v>
      </c>
      <c r="AA931">
        <v>9</v>
      </c>
      <c r="AB931">
        <v>3</v>
      </c>
      <c r="AC931">
        <v>0</v>
      </c>
      <c r="AD931">
        <v>10</v>
      </c>
      <c r="AE931">
        <v>0</v>
      </c>
      <c r="AF931">
        <v>0</v>
      </c>
      <c r="AG931">
        <v>2</v>
      </c>
      <c r="AH931">
        <v>1</v>
      </c>
      <c r="AI931" t="s">
        <v>565</v>
      </c>
      <c r="AJ931">
        <v>35.821803000000003</v>
      </c>
      <c r="AK931" t="s">
        <v>566</v>
      </c>
      <c r="AL931">
        <v>-83.945954</v>
      </c>
      <c r="AM931">
        <v>25</v>
      </c>
      <c r="AN931">
        <v>1550</v>
      </c>
      <c r="AO931" t="s">
        <v>118</v>
      </c>
      <c r="AP931">
        <v>89</v>
      </c>
      <c r="AQ931">
        <v>86</v>
      </c>
      <c r="AR931">
        <v>-256</v>
      </c>
      <c r="AZ931">
        <v>300</v>
      </c>
      <c r="BA931">
        <v>1</v>
      </c>
      <c r="BB931" t="str">
        <f t="shared" si="44"/>
        <v xml:space="preserve">N162AM  </v>
      </c>
      <c r="BC931">
        <v>1</v>
      </c>
      <c r="BE931">
        <v>0</v>
      </c>
      <c r="BF931">
        <v>0</v>
      </c>
      <c r="BG931">
        <v>0</v>
      </c>
      <c r="BH931">
        <v>1825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>"14:46:40.466"</f>
        <v>14:46:40.466</v>
      </c>
      <c r="CJ931">
        <v>2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232</v>
      </c>
      <c r="CR931">
        <v>1</v>
      </c>
      <c r="CW931">
        <v>15197505</v>
      </c>
      <c r="CY931">
        <v>1</v>
      </c>
      <c r="CZ931">
        <v>0</v>
      </c>
      <c r="DA931">
        <v>1</v>
      </c>
      <c r="DB931">
        <v>0</v>
      </c>
      <c r="DC931">
        <v>0</v>
      </c>
      <c r="DD931">
        <v>1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"12/16/2021 14:46:40.678"</f>
        <v>12/16/2021 14:46:40.678</v>
      </c>
      <c r="C932" t="str">
        <f t="shared" si="43"/>
        <v>FFDFD3C0</v>
      </c>
      <c r="D932" t="s">
        <v>124</v>
      </c>
      <c r="E932">
        <v>5</v>
      </c>
      <c r="F932">
        <v>1005</v>
      </c>
      <c r="G932" t="s">
        <v>114</v>
      </c>
      <c r="J932" t="s">
        <v>125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"14:46:40.461"</f>
        <v>14:46:40.461</v>
      </c>
      <c r="T932" t="str">
        <f>"14:46:39.961"</f>
        <v>14:46:39.961</v>
      </c>
      <c r="U932" t="str">
        <f t="shared" si="42"/>
        <v>A0F928</v>
      </c>
      <c r="V932">
        <v>0</v>
      </c>
      <c r="W932">
        <v>0</v>
      </c>
      <c r="X932">
        <v>2</v>
      </c>
      <c r="Z932">
        <v>0</v>
      </c>
      <c r="AA932">
        <v>9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2</v>
      </c>
      <c r="AH932">
        <v>1</v>
      </c>
      <c r="AI932" t="s">
        <v>565</v>
      </c>
      <c r="AJ932">
        <v>35.821803000000003</v>
      </c>
      <c r="AK932" t="s">
        <v>566</v>
      </c>
      <c r="AL932">
        <v>-83.945954</v>
      </c>
      <c r="AM932">
        <v>25</v>
      </c>
      <c r="AN932">
        <v>1550</v>
      </c>
      <c r="AO932" t="s">
        <v>118</v>
      </c>
      <c r="AP932">
        <v>89</v>
      </c>
      <c r="AQ932">
        <v>86</v>
      </c>
      <c r="AR932">
        <v>-256</v>
      </c>
      <c r="AZ932">
        <v>300</v>
      </c>
      <c r="BA932">
        <v>1</v>
      </c>
      <c r="BB932" t="str">
        <f t="shared" si="44"/>
        <v xml:space="preserve">N162AM  </v>
      </c>
      <c r="BC932">
        <v>1</v>
      </c>
      <c r="BE932">
        <v>0</v>
      </c>
      <c r="BF932">
        <v>0</v>
      </c>
      <c r="BG932">
        <v>0</v>
      </c>
      <c r="BH932">
        <v>1825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>"14:46:40.466"</f>
        <v>14:46:40.466</v>
      </c>
      <c r="CJ932">
        <v>3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232</v>
      </c>
      <c r="CR932">
        <v>1</v>
      </c>
      <c r="CW932">
        <v>15197505</v>
      </c>
      <c r="CY932">
        <v>1</v>
      </c>
      <c r="CZ932">
        <v>0</v>
      </c>
      <c r="DA932">
        <v>1</v>
      </c>
      <c r="DB932">
        <v>0</v>
      </c>
      <c r="DC932">
        <v>0</v>
      </c>
      <c r="DD932">
        <v>1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"12/16/2021 14:46:41.710"</f>
        <v>12/16/2021 14:46:41.710</v>
      </c>
      <c r="C933" t="str">
        <f t="shared" si="43"/>
        <v>FFDFD3C0</v>
      </c>
      <c r="D933" t="s">
        <v>113</v>
      </c>
      <c r="E933">
        <v>8</v>
      </c>
      <c r="H933">
        <v>176</v>
      </c>
      <c r="I933" t="s">
        <v>114</v>
      </c>
      <c r="J933" t="s">
        <v>115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"14:46:41.500"</f>
        <v>14:46:41.500</v>
      </c>
      <c r="T933" t="str">
        <f>"14:46:41.000"</f>
        <v>14:46:41.000</v>
      </c>
      <c r="U933" t="str">
        <f t="shared" si="42"/>
        <v>A0F928</v>
      </c>
      <c r="V933">
        <v>0</v>
      </c>
      <c r="W933">
        <v>0</v>
      </c>
      <c r="X933">
        <v>2</v>
      </c>
      <c r="Z933">
        <v>0</v>
      </c>
      <c r="AA933">
        <v>9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2</v>
      </c>
      <c r="AH933">
        <v>1</v>
      </c>
      <c r="AI933" t="s">
        <v>567</v>
      </c>
      <c r="AJ933">
        <v>35.822232</v>
      </c>
      <c r="AK933" t="s">
        <v>568</v>
      </c>
      <c r="AL933">
        <v>-83.945417000000006</v>
      </c>
      <c r="AM933">
        <v>25</v>
      </c>
      <c r="AN933">
        <v>1550</v>
      </c>
      <c r="AO933" t="s">
        <v>118</v>
      </c>
      <c r="AP933">
        <v>87</v>
      </c>
      <c r="AQ933">
        <v>87</v>
      </c>
      <c r="AR933">
        <v>-128</v>
      </c>
      <c r="AZ933">
        <v>300</v>
      </c>
      <c r="BA933">
        <v>1</v>
      </c>
      <c r="BB933" t="str">
        <f t="shared" si="44"/>
        <v xml:space="preserve">N162AM  </v>
      </c>
      <c r="BC933">
        <v>1</v>
      </c>
      <c r="BE933">
        <v>0</v>
      </c>
      <c r="BF933">
        <v>0</v>
      </c>
      <c r="BG933">
        <v>0</v>
      </c>
      <c r="BH933">
        <v>1825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>"14:46:41.503"</f>
        <v>14:46:41.503</v>
      </c>
      <c r="CJ933">
        <v>3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232</v>
      </c>
      <c r="CR933">
        <v>1</v>
      </c>
      <c r="CW933">
        <v>15199084</v>
      </c>
      <c r="CY933">
        <v>1</v>
      </c>
      <c r="CZ933">
        <v>0</v>
      </c>
      <c r="DA933">
        <v>0</v>
      </c>
      <c r="DB933">
        <v>0</v>
      </c>
      <c r="DC933">
        <v>0</v>
      </c>
      <c r="DD933">
        <v>1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"12/16/2021 14:46:41.757"</f>
        <v>12/16/2021 14:46:41.757</v>
      </c>
      <c r="C934" t="str">
        <f t="shared" si="43"/>
        <v>FFDFD3C0</v>
      </c>
      <c r="D934" t="s">
        <v>124</v>
      </c>
      <c r="E934">
        <v>10</v>
      </c>
      <c r="F934">
        <v>1010</v>
      </c>
      <c r="G934" t="s">
        <v>130</v>
      </c>
      <c r="J934" t="s">
        <v>125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"14:46:41.500"</f>
        <v>14:46:41.500</v>
      </c>
      <c r="T934" t="str">
        <f>"14:46:41.000"</f>
        <v>14:46:41.000</v>
      </c>
      <c r="U934" t="str">
        <f t="shared" si="42"/>
        <v>A0F928</v>
      </c>
      <c r="V934">
        <v>0</v>
      </c>
      <c r="W934">
        <v>0</v>
      </c>
      <c r="X934">
        <v>2</v>
      </c>
      <c r="Z934">
        <v>0</v>
      </c>
      <c r="AA934">
        <v>9</v>
      </c>
      <c r="AB934">
        <v>3</v>
      </c>
      <c r="AC934">
        <v>0</v>
      </c>
      <c r="AD934">
        <v>10</v>
      </c>
      <c r="AE934">
        <v>0</v>
      </c>
      <c r="AF934">
        <v>0</v>
      </c>
      <c r="AG934">
        <v>2</v>
      </c>
      <c r="AH934">
        <v>1</v>
      </c>
      <c r="AI934" t="s">
        <v>567</v>
      </c>
      <c r="AJ934">
        <v>35.822232</v>
      </c>
      <c r="AK934" t="s">
        <v>568</v>
      </c>
      <c r="AL934">
        <v>-83.945417000000006</v>
      </c>
      <c r="AM934">
        <v>25</v>
      </c>
      <c r="AN934">
        <v>1550</v>
      </c>
      <c r="AO934" t="s">
        <v>118</v>
      </c>
      <c r="AP934">
        <v>87</v>
      </c>
      <c r="AQ934">
        <v>87</v>
      </c>
      <c r="AR934">
        <v>-128</v>
      </c>
      <c r="AZ934">
        <v>300</v>
      </c>
      <c r="BA934">
        <v>1</v>
      </c>
      <c r="BB934" t="str">
        <f t="shared" si="44"/>
        <v xml:space="preserve">N162AM  </v>
      </c>
      <c r="BC934">
        <v>1</v>
      </c>
      <c r="BE934">
        <v>0</v>
      </c>
      <c r="BF934">
        <v>0</v>
      </c>
      <c r="BG934">
        <v>0</v>
      </c>
      <c r="BH934">
        <v>1825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>"14:46:41.503"</f>
        <v>14:46:41.503</v>
      </c>
      <c r="CJ934">
        <v>2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119</v>
      </c>
      <c r="CQ934">
        <v>232</v>
      </c>
      <c r="CR934">
        <v>1</v>
      </c>
      <c r="CW934">
        <v>15199084</v>
      </c>
      <c r="CY934">
        <v>1</v>
      </c>
      <c r="CZ934">
        <v>0</v>
      </c>
      <c r="DA934">
        <v>1</v>
      </c>
      <c r="DB934">
        <v>0</v>
      </c>
      <c r="DC934">
        <v>0</v>
      </c>
      <c r="DD934">
        <v>1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"12/16/2021 14:46:41.757"</f>
        <v>12/16/2021 14:46:41.757</v>
      </c>
      <c r="C935" t="str">
        <f t="shared" si="43"/>
        <v>FFDFD3C0</v>
      </c>
      <c r="D935" t="s">
        <v>133</v>
      </c>
      <c r="E935">
        <v>44</v>
      </c>
      <c r="H935">
        <v>131</v>
      </c>
      <c r="I935" t="s">
        <v>134</v>
      </c>
      <c r="J935" t="s">
        <v>135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"14:46:41.500"</f>
        <v>14:46:41.500</v>
      </c>
      <c r="T935" t="str">
        <f>"14:46:41.000"</f>
        <v>14:46:41.000</v>
      </c>
      <c r="U935" t="str">
        <f t="shared" si="42"/>
        <v>A0F928</v>
      </c>
      <c r="V935">
        <v>0</v>
      </c>
      <c r="W935">
        <v>0</v>
      </c>
      <c r="X935">
        <v>2</v>
      </c>
      <c r="Z935">
        <v>0</v>
      </c>
      <c r="AA935">
        <v>9</v>
      </c>
      <c r="AB935">
        <v>3</v>
      </c>
      <c r="AC935">
        <v>0</v>
      </c>
      <c r="AD935">
        <v>10</v>
      </c>
      <c r="AE935">
        <v>0</v>
      </c>
      <c r="AF935">
        <v>3</v>
      </c>
      <c r="AG935">
        <v>2</v>
      </c>
      <c r="AH935">
        <v>1</v>
      </c>
      <c r="AI935" t="s">
        <v>567</v>
      </c>
      <c r="AJ935">
        <v>35.822232</v>
      </c>
      <c r="AK935" t="s">
        <v>568</v>
      </c>
      <c r="AL935">
        <v>-83.945417000000006</v>
      </c>
      <c r="AM935">
        <v>25</v>
      </c>
      <c r="AN935">
        <v>1550</v>
      </c>
      <c r="AO935" t="s">
        <v>118</v>
      </c>
      <c r="AP935">
        <v>87</v>
      </c>
      <c r="AQ935">
        <v>87</v>
      </c>
      <c r="AR935">
        <v>-128</v>
      </c>
      <c r="AZ935">
        <v>300</v>
      </c>
      <c r="BA935">
        <v>1</v>
      </c>
      <c r="BB935" t="str">
        <f t="shared" si="44"/>
        <v xml:space="preserve">N162AM  </v>
      </c>
      <c r="BC935">
        <v>1</v>
      </c>
      <c r="BE935">
        <v>0</v>
      </c>
      <c r="BF935">
        <v>0</v>
      </c>
      <c r="BG935">
        <v>0</v>
      </c>
      <c r="BH935">
        <v>1825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>"14:46:41.503"</f>
        <v>14:46:41.503</v>
      </c>
      <c r="CJ935">
        <v>3</v>
      </c>
      <c r="CK935">
        <v>2</v>
      </c>
      <c r="CL935">
        <v>0</v>
      </c>
      <c r="CM935">
        <v>2</v>
      </c>
      <c r="CN935">
        <v>0</v>
      </c>
      <c r="CO935">
        <v>7</v>
      </c>
      <c r="CP935" t="s">
        <v>119</v>
      </c>
      <c r="CQ935">
        <v>232</v>
      </c>
      <c r="CR935">
        <v>1</v>
      </c>
      <c r="CW935">
        <v>15199084</v>
      </c>
      <c r="CY935">
        <v>1</v>
      </c>
      <c r="CZ935">
        <v>0</v>
      </c>
      <c r="DA935">
        <v>1</v>
      </c>
      <c r="DB935">
        <v>0</v>
      </c>
      <c r="DC935">
        <v>0</v>
      </c>
      <c r="DD935">
        <v>1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"12/16/2021 14:46:41.757"</f>
        <v>12/16/2021 14:46:41.757</v>
      </c>
      <c r="C936" t="str">
        <f t="shared" si="43"/>
        <v>FFDFD3C0</v>
      </c>
      <c r="D936" t="s">
        <v>124</v>
      </c>
      <c r="E936">
        <v>5</v>
      </c>
      <c r="F936">
        <v>1005</v>
      </c>
      <c r="G936" t="s">
        <v>114</v>
      </c>
      <c r="J936" t="s">
        <v>125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"14:46:41.500"</f>
        <v>14:46:41.500</v>
      </c>
      <c r="T936" t="str">
        <f>"14:46:41.000"</f>
        <v>14:46:41.000</v>
      </c>
      <c r="U936" t="str">
        <f t="shared" si="42"/>
        <v>A0F928</v>
      </c>
      <c r="V936">
        <v>0</v>
      </c>
      <c r="W936">
        <v>0</v>
      </c>
      <c r="X936">
        <v>2</v>
      </c>
      <c r="Z936">
        <v>0</v>
      </c>
      <c r="AA936">
        <v>9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2</v>
      </c>
      <c r="AH936">
        <v>1</v>
      </c>
      <c r="AI936" t="s">
        <v>567</v>
      </c>
      <c r="AJ936">
        <v>35.822232</v>
      </c>
      <c r="AK936" t="s">
        <v>568</v>
      </c>
      <c r="AL936">
        <v>-83.945417000000006</v>
      </c>
      <c r="AM936">
        <v>25</v>
      </c>
      <c r="AN936">
        <v>1550</v>
      </c>
      <c r="AO936" t="s">
        <v>118</v>
      </c>
      <c r="AP936">
        <v>87</v>
      </c>
      <c r="AQ936">
        <v>87</v>
      </c>
      <c r="AR936">
        <v>-128</v>
      </c>
      <c r="AZ936">
        <v>300</v>
      </c>
      <c r="BA936">
        <v>1</v>
      </c>
      <c r="BB936" t="str">
        <f t="shared" si="44"/>
        <v xml:space="preserve">N162AM  </v>
      </c>
      <c r="BC936">
        <v>1</v>
      </c>
      <c r="BE936">
        <v>0</v>
      </c>
      <c r="BF936">
        <v>0</v>
      </c>
      <c r="BG936">
        <v>0</v>
      </c>
      <c r="BH936">
        <v>1825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>"14:46:41.503"</f>
        <v>14:46:41.503</v>
      </c>
      <c r="CJ936">
        <v>3</v>
      </c>
      <c r="CK936">
        <v>2</v>
      </c>
      <c r="CL936">
        <v>0</v>
      </c>
      <c r="CM936">
        <v>2</v>
      </c>
      <c r="CN936">
        <v>0</v>
      </c>
      <c r="CO936">
        <v>7</v>
      </c>
      <c r="CP936" t="s">
        <v>119</v>
      </c>
      <c r="CQ936">
        <v>232</v>
      </c>
      <c r="CR936">
        <v>1</v>
      </c>
      <c r="CW936">
        <v>15199084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1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"12/16/2021 14:46:42.694"</f>
        <v>12/16/2021 14:46:42.694</v>
      </c>
      <c r="C937" t="str">
        <f t="shared" si="43"/>
        <v>FFDFD3C0</v>
      </c>
      <c r="D937" t="s">
        <v>124</v>
      </c>
      <c r="E937">
        <v>5</v>
      </c>
      <c r="F937">
        <v>1005</v>
      </c>
      <c r="G937" t="s">
        <v>114</v>
      </c>
      <c r="J937" t="s">
        <v>125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"14:46:42.492"</f>
        <v>14:46:42.492</v>
      </c>
      <c r="T937" t="str">
        <f>"14:46:41.592"</f>
        <v>14:46:41.592</v>
      </c>
      <c r="U937" t="str">
        <f t="shared" si="42"/>
        <v>A0F928</v>
      </c>
      <c r="V937">
        <v>0</v>
      </c>
      <c r="W937">
        <v>0</v>
      </c>
      <c r="X937">
        <v>2</v>
      </c>
      <c r="Z937">
        <v>0</v>
      </c>
      <c r="AA937">
        <v>9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2</v>
      </c>
      <c r="AH937">
        <v>1</v>
      </c>
      <c r="AI937" t="s">
        <v>569</v>
      </c>
      <c r="AJ937">
        <v>35.822639000000002</v>
      </c>
      <c r="AK937" t="s">
        <v>570</v>
      </c>
      <c r="AL937">
        <v>-83.944945000000004</v>
      </c>
      <c r="AM937">
        <v>25</v>
      </c>
      <c r="AN937">
        <v>1550</v>
      </c>
      <c r="AO937" t="s">
        <v>118</v>
      </c>
      <c r="AP937">
        <v>86</v>
      </c>
      <c r="AQ937">
        <v>87</v>
      </c>
      <c r="AR937">
        <v>-128</v>
      </c>
      <c r="AZ937">
        <v>300</v>
      </c>
      <c r="BA937">
        <v>1</v>
      </c>
      <c r="BB937" t="str">
        <f t="shared" si="44"/>
        <v xml:space="preserve">N162AM  </v>
      </c>
      <c r="BC937">
        <v>1</v>
      </c>
      <c r="BE937">
        <v>0</v>
      </c>
      <c r="BF937">
        <v>0</v>
      </c>
      <c r="BG937">
        <v>0</v>
      </c>
      <c r="BH937">
        <v>1825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>"14:46:42.496"</f>
        <v>14:46:42.496</v>
      </c>
      <c r="CJ937">
        <v>3</v>
      </c>
      <c r="CK937">
        <v>2</v>
      </c>
      <c r="CL937">
        <v>0</v>
      </c>
      <c r="CM937">
        <v>2</v>
      </c>
      <c r="CN937">
        <v>0</v>
      </c>
      <c r="CO937">
        <v>6</v>
      </c>
      <c r="CP937" t="s">
        <v>119</v>
      </c>
      <c r="CQ937">
        <v>232</v>
      </c>
      <c r="CR937">
        <v>1</v>
      </c>
      <c r="CW937">
        <v>15200599</v>
      </c>
      <c r="CY937">
        <v>1</v>
      </c>
      <c r="CZ937">
        <v>0</v>
      </c>
      <c r="DA937">
        <v>0</v>
      </c>
      <c r="DB937">
        <v>0</v>
      </c>
      <c r="DC937">
        <v>0</v>
      </c>
      <c r="DD937">
        <v>1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"12/16/2021 14:46:42.725"</f>
        <v>12/16/2021 14:46:42.725</v>
      </c>
      <c r="C938" t="str">
        <f t="shared" si="43"/>
        <v>FFDFD3C0</v>
      </c>
      <c r="D938" t="s">
        <v>113</v>
      </c>
      <c r="E938">
        <v>8</v>
      </c>
      <c r="H938">
        <v>176</v>
      </c>
      <c r="I938" t="s">
        <v>114</v>
      </c>
      <c r="J938" t="s">
        <v>115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"14:46:42.492"</f>
        <v>14:46:42.492</v>
      </c>
      <c r="T938" t="str">
        <f>"14:46:41.592"</f>
        <v>14:46:41.592</v>
      </c>
      <c r="U938" t="str">
        <f t="shared" si="42"/>
        <v>A0F928</v>
      </c>
      <c r="V938">
        <v>0</v>
      </c>
      <c r="W938">
        <v>0</v>
      </c>
      <c r="X938">
        <v>2</v>
      </c>
      <c r="Z938">
        <v>0</v>
      </c>
      <c r="AA938">
        <v>9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2</v>
      </c>
      <c r="AH938">
        <v>1</v>
      </c>
      <c r="AI938" t="s">
        <v>569</v>
      </c>
      <c r="AJ938">
        <v>35.822639000000002</v>
      </c>
      <c r="AK938" t="s">
        <v>570</v>
      </c>
      <c r="AL938">
        <v>-83.944945000000004</v>
      </c>
      <c r="AM938">
        <v>25</v>
      </c>
      <c r="AN938">
        <v>1550</v>
      </c>
      <c r="AO938" t="s">
        <v>118</v>
      </c>
      <c r="AP938">
        <v>86</v>
      </c>
      <c r="AQ938">
        <v>87</v>
      </c>
      <c r="AR938">
        <v>-128</v>
      </c>
      <c r="AZ938">
        <v>300</v>
      </c>
      <c r="BA938">
        <v>1</v>
      </c>
      <c r="BB938" t="str">
        <f t="shared" si="44"/>
        <v xml:space="preserve">N162AM  </v>
      </c>
      <c r="BC938">
        <v>1</v>
      </c>
      <c r="BE938">
        <v>0</v>
      </c>
      <c r="BF938">
        <v>0</v>
      </c>
      <c r="BG938">
        <v>0</v>
      </c>
      <c r="BH938">
        <v>1825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>"14:46:42.496"</f>
        <v>14:46:42.496</v>
      </c>
      <c r="CJ938">
        <v>3</v>
      </c>
      <c r="CK938">
        <v>2</v>
      </c>
      <c r="CL938">
        <v>0</v>
      </c>
      <c r="CM938">
        <v>2</v>
      </c>
      <c r="CN938">
        <v>0</v>
      </c>
      <c r="CO938">
        <v>6</v>
      </c>
      <c r="CP938" t="s">
        <v>119</v>
      </c>
      <c r="CQ938">
        <v>232</v>
      </c>
      <c r="CR938">
        <v>1</v>
      </c>
      <c r="CW938">
        <v>15200599</v>
      </c>
      <c r="CY938">
        <v>1</v>
      </c>
      <c r="CZ938">
        <v>0</v>
      </c>
      <c r="DA938">
        <v>1</v>
      </c>
      <c r="DB938">
        <v>0</v>
      </c>
      <c r="DC938">
        <v>0</v>
      </c>
      <c r="DD938">
        <v>1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"12/16/2021 14:46:42.772"</f>
        <v>12/16/2021 14:46:42.772</v>
      </c>
      <c r="C939" t="str">
        <f t="shared" si="43"/>
        <v>FFDFD3C0</v>
      </c>
      <c r="D939" t="s">
        <v>133</v>
      </c>
      <c r="E939">
        <v>44</v>
      </c>
      <c r="H939">
        <v>131</v>
      </c>
      <c r="I939" t="s">
        <v>134</v>
      </c>
      <c r="J939" t="s">
        <v>135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"14:46:42.492"</f>
        <v>14:46:42.492</v>
      </c>
      <c r="T939" t="str">
        <f>"14:46:41.592"</f>
        <v>14:46:41.592</v>
      </c>
      <c r="U939" t="str">
        <f t="shared" si="42"/>
        <v>A0F928</v>
      </c>
      <c r="V939">
        <v>0</v>
      </c>
      <c r="W939">
        <v>0</v>
      </c>
      <c r="X939">
        <v>2</v>
      </c>
      <c r="Z939">
        <v>0</v>
      </c>
      <c r="AA939">
        <v>9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2</v>
      </c>
      <c r="AH939">
        <v>1</v>
      </c>
      <c r="AI939" t="s">
        <v>569</v>
      </c>
      <c r="AJ939">
        <v>35.822639000000002</v>
      </c>
      <c r="AK939" t="s">
        <v>570</v>
      </c>
      <c r="AL939">
        <v>-83.944945000000004</v>
      </c>
      <c r="AM939">
        <v>25</v>
      </c>
      <c r="AN939">
        <v>1550</v>
      </c>
      <c r="AO939" t="s">
        <v>118</v>
      </c>
      <c r="AP939">
        <v>86</v>
      </c>
      <c r="AQ939">
        <v>87</v>
      </c>
      <c r="AR939">
        <v>-128</v>
      </c>
      <c r="AZ939">
        <v>300</v>
      </c>
      <c r="BA939">
        <v>1</v>
      </c>
      <c r="BB939" t="str">
        <f t="shared" si="44"/>
        <v xml:space="preserve">N162AM  </v>
      </c>
      <c r="BC939">
        <v>1</v>
      </c>
      <c r="BE939">
        <v>0</v>
      </c>
      <c r="BF939">
        <v>0</v>
      </c>
      <c r="BG939">
        <v>0</v>
      </c>
      <c r="BH939">
        <v>1825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>"14:46:42.496"</f>
        <v>14:46:42.496</v>
      </c>
      <c r="CJ939">
        <v>3</v>
      </c>
      <c r="CK939">
        <v>2</v>
      </c>
      <c r="CL939">
        <v>0</v>
      </c>
      <c r="CM939">
        <v>2</v>
      </c>
      <c r="CN939">
        <v>0</v>
      </c>
      <c r="CO939">
        <v>6</v>
      </c>
      <c r="CP939" t="s">
        <v>119</v>
      </c>
      <c r="CQ939">
        <v>232</v>
      </c>
      <c r="CR939">
        <v>1</v>
      </c>
      <c r="CW939">
        <v>15200599</v>
      </c>
      <c r="CY939">
        <v>1</v>
      </c>
      <c r="CZ939">
        <v>0</v>
      </c>
      <c r="DA939">
        <v>1</v>
      </c>
      <c r="DB939">
        <v>0</v>
      </c>
      <c r="DC939">
        <v>0</v>
      </c>
      <c r="DD939">
        <v>1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"12/16/2021 14:46:42.772"</f>
        <v>12/16/2021 14:46:42.772</v>
      </c>
      <c r="C940" t="str">
        <f t="shared" si="43"/>
        <v>FFDFD3C0</v>
      </c>
      <c r="D940" t="s">
        <v>124</v>
      </c>
      <c r="E940">
        <v>10</v>
      </c>
      <c r="F940">
        <v>1010</v>
      </c>
      <c r="G940" t="s">
        <v>130</v>
      </c>
      <c r="J940" t="s">
        <v>125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"14:46:42.492"</f>
        <v>14:46:42.492</v>
      </c>
      <c r="T940" t="str">
        <f>"14:46:41.592"</f>
        <v>14:46:41.592</v>
      </c>
      <c r="U940" t="str">
        <f t="shared" si="42"/>
        <v>A0F928</v>
      </c>
      <c r="V940">
        <v>0</v>
      </c>
      <c r="W940">
        <v>0</v>
      </c>
      <c r="X940">
        <v>2</v>
      </c>
      <c r="Z940">
        <v>0</v>
      </c>
      <c r="AA940">
        <v>9</v>
      </c>
      <c r="AB940">
        <v>3</v>
      </c>
      <c r="AC940">
        <v>0</v>
      </c>
      <c r="AD940">
        <v>10</v>
      </c>
      <c r="AE940">
        <v>0</v>
      </c>
      <c r="AF940">
        <v>0</v>
      </c>
      <c r="AG940">
        <v>2</v>
      </c>
      <c r="AH940">
        <v>1</v>
      </c>
      <c r="AI940" t="s">
        <v>569</v>
      </c>
      <c r="AJ940">
        <v>35.822639000000002</v>
      </c>
      <c r="AK940" t="s">
        <v>570</v>
      </c>
      <c r="AL940">
        <v>-83.944945000000004</v>
      </c>
      <c r="AM940">
        <v>25</v>
      </c>
      <c r="AN940">
        <v>1550</v>
      </c>
      <c r="AO940" t="s">
        <v>118</v>
      </c>
      <c r="AP940">
        <v>86</v>
      </c>
      <c r="AQ940">
        <v>87</v>
      </c>
      <c r="AR940">
        <v>-128</v>
      </c>
      <c r="AZ940">
        <v>300</v>
      </c>
      <c r="BA940">
        <v>1</v>
      </c>
      <c r="BB940" t="str">
        <f t="shared" si="44"/>
        <v xml:space="preserve">N162AM  </v>
      </c>
      <c r="BC940">
        <v>1</v>
      </c>
      <c r="BE940">
        <v>0</v>
      </c>
      <c r="BF940">
        <v>0</v>
      </c>
      <c r="BG940">
        <v>0</v>
      </c>
      <c r="BH940">
        <v>1825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>"14:46:42.496"</f>
        <v>14:46:42.496</v>
      </c>
      <c r="CJ940">
        <v>2</v>
      </c>
      <c r="CK940">
        <v>2</v>
      </c>
      <c r="CL940">
        <v>0</v>
      </c>
      <c r="CM940">
        <v>2</v>
      </c>
      <c r="CN940">
        <v>0</v>
      </c>
      <c r="CO940">
        <v>6</v>
      </c>
      <c r="CP940" t="s">
        <v>119</v>
      </c>
      <c r="CQ940">
        <v>232</v>
      </c>
      <c r="CR940">
        <v>1</v>
      </c>
      <c r="CW940">
        <v>15200599</v>
      </c>
      <c r="CY940">
        <v>1</v>
      </c>
      <c r="CZ940">
        <v>0</v>
      </c>
      <c r="DA940">
        <v>1</v>
      </c>
      <c r="DB940">
        <v>0</v>
      </c>
      <c r="DC940">
        <v>0</v>
      </c>
      <c r="DD940">
        <v>1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"12/16/2021 14:46:43.632"</f>
        <v>12/16/2021 14:46:43.632</v>
      </c>
      <c r="C941" t="str">
        <f t="shared" si="43"/>
        <v>FFDFD3C0</v>
      </c>
      <c r="D941" t="s">
        <v>113</v>
      </c>
      <c r="E941">
        <v>8</v>
      </c>
      <c r="H941">
        <v>176</v>
      </c>
      <c r="I941" t="s">
        <v>114</v>
      </c>
      <c r="J941" t="s">
        <v>115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"14:46:43.445"</f>
        <v>14:46:43.445</v>
      </c>
      <c r="T941" t="str">
        <f>"14:46:43.045"</f>
        <v>14:46:43.045</v>
      </c>
      <c r="U941" t="str">
        <f t="shared" si="42"/>
        <v>A0F928</v>
      </c>
      <c r="V941">
        <v>0</v>
      </c>
      <c r="W941">
        <v>0</v>
      </c>
      <c r="X941">
        <v>2</v>
      </c>
      <c r="Z941">
        <v>0</v>
      </c>
      <c r="AA941">
        <v>9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2</v>
      </c>
      <c r="AH941">
        <v>1</v>
      </c>
      <c r="AI941" t="s">
        <v>571</v>
      </c>
      <c r="AJ941">
        <v>35.823068999999997</v>
      </c>
      <c r="AK941" t="s">
        <v>572</v>
      </c>
      <c r="AL941">
        <v>-83.944495000000003</v>
      </c>
      <c r="AM941">
        <v>25</v>
      </c>
      <c r="AN941">
        <v>1550</v>
      </c>
      <c r="AO941" t="s">
        <v>118</v>
      </c>
      <c r="AP941">
        <v>82</v>
      </c>
      <c r="AQ941">
        <v>91</v>
      </c>
      <c r="AR941">
        <v>-256</v>
      </c>
      <c r="AZ941">
        <v>300</v>
      </c>
      <c r="BA941">
        <v>1</v>
      </c>
      <c r="BB941" t="str">
        <f t="shared" si="44"/>
        <v xml:space="preserve">N162AM  </v>
      </c>
      <c r="BC941">
        <v>1</v>
      </c>
      <c r="BE941">
        <v>0</v>
      </c>
      <c r="BF941">
        <v>0</v>
      </c>
      <c r="BG941">
        <v>0</v>
      </c>
      <c r="BH941">
        <v>1800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>"14:46:43.451"</f>
        <v>14:46:43.451</v>
      </c>
      <c r="CJ941">
        <v>3</v>
      </c>
      <c r="CK941">
        <v>2</v>
      </c>
      <c r="CL941">
        <v>0</v>
      </c>
      <c r="CM941">
        <v>2</v>
      </c>
      <c r="CN941">
        <v>0</v>
      </c>
      <c r="CO941">
        <v>6</v>
      </c>
      <c r="CP941" t="s">
        <v>119</v>
      </c>
      <c r="CQ941">
        <v>232</v>
      </c>
      <c r="CR941">
        <v>1</v>
      </c>
      <c r="CW941">
        <v>15202133</v>
      </c>
      <c r="CY941">
        <v>1</v>
      </c>
      <c r="CZ941">
        <v>0</v>
      </c>
      <c r="DA941">
        <v>0</v>
      </c>
      <c r="DB941">
        <v>0</v>
      </c>
      <c r="DC941">
        <v>0</v>
      </c>
      <c r="DD941">
        <v>1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"12/16/2021 14:46:43.632"</f>
        <v>12/16/2021 14:46:43.632</v>
      </c>
      <c r="C942" t="str">
        <f t="shared" si="43"/>
        <v>FFDFD3C0</v>
      </c>
      <c r="D942" t="s">
        <v>124</v>
      </c>
      <c r="E942">
        <v>10</v>
      </c>
      <c r="F942">
        <v>1010</v>
      </c>
      <c r="G942" t="s">
        <v>130</v>
      </c>
      <c r="J942" t="s">
        <v>125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"14:46:43.445"</f>
        <v>14:46:43.445</v>
      </c>
      <c r="T942" t="str">
        <f>"14:46:43.045"</f>
        <v>14:46:43.045</v>
      </c>
      <c r="U942" t="str">
        <f t="shared" si="42"/>
        <v>A0F928</v>
      </c>
      <c r="V942">
        <v>0</v>
      </c>
      <c r="W942">
        <v>0</v>
      </c>
      <c r="X942">
        <v>2</v>
      </c>
      <c r="Z942">
        <v>0</v>
      </c>
      <c r="AA942">
        <v>9</v>
      </c>
      <c r="AB942">
        <v>3</v>
      </c>
      <c r="AC942">
        <v>0</v>
      </c>
      <c r="AD942">
        <v>10</v>
      </c>
      <c r="AE942">
        <v>0</v>
      </c>
      <c r="AF942">
        <v>0</v>
      </c>
      <c r="AG942">
        <v>2</v>
      </c>
      <c r="AH942">
        <v>1</v>
      </c>
      <c r="AI942" t="s">
        <v>571</v>
      </c>
      <c r="AJ942">
        <v>35.823068999999997</v>
      </c>
      <c r="AK942" t="s">
        <v>572</v>
      </c>
      <c r="AL942">
        <v>-83.944495000000003</v>
      </c>
      <c r="AM942">
        <v>25</v>
      </c>
      <c r="AN942">
        <v>1550</v>
      </c>
      <c r="AO942" t="s">
        <v>118</v>
      </c>
      <c r="AP942">
        <v>82</v>
      </c>
      <c r="AQ942">
        <v>91</v>
      </c>
      <c r="AR942">
        <v>-256</v>
      </c>
      <c r="AZ942">
        <v>300</v>
      </c>
      <c r="BA942">
        <v>1</v>
      </c>
      <c r="BB942" t="str">
        <f t="shared" si="44"/>
        <v xml:space="preserve">N162AM  </v>
      </c>
      <c r="BC942">
        <v>1</v>
      </c>
      <c r="BE942">
        <v>0</v>
      </c>
      <c r="BF942">
        <v>0</v>
      </c>
      <c r="BG942">
        <v>0</v>
      </c>
      <c r="BH942">
        <v>1800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>"14:46:43.451"</f>
        <v>14:46:43.451</v>
      </c>
      <c r="CJ942">
        <v>2</v>
      </c>
      <c r="CK942">
        <v>2</v>
      </c>
      <c r="CL942">
        <v>0</v>
      </c>
      <c r="CM942">
        <v>2</v>
      </c>
      <c r="CN942">
        <v>0</v>
      </c>
      <c r="CO942">
        <v>6</v>
      </c>
      <c r="CP942" t="s">
        <v>119</v>
      </c>
      <c r="CQ942">
        <v>232</v>
      </c>
      <c r="CR942">
        <v>1</v>
      </c>
      <c r="CW942">
        <v>15202133</v>
      </c>
      <c r="CY942">
        <v>1</v>
      </c>
      <c r="CZ942">
        <v>0</v>
      </c>
      <c r="DA942">
        <v>1</v>
      </c>
      <c r="DB942">
        <v>0</v>
      </c>
      <c r="DC942">
        <v>0</v>
      </c>
      <c r="DD942">
        <v>1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"12/16/2021 14:46:43.632"</f>
        <v>12/16/2021 14:46:43.632</v>
      </c>
      <c r="C943" t="str">
        <f t="shared" si="43"/>
        <v>FFDFD3C0</v>
      </c>
      <c r="D943" t="s">
        <v>133</v>
      </c>
      <c r="E943">
        <v>44</v>
      </c>
      <c r="H943">
        <v>131</v>
      </c>
      <c r="I943" t="s">
        <v>134</v>
      </c>
      <c r="J943" t="s">
        <v>135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"14:46:43.445"</f>
        <v>14:46:43.445</v>
      </c>
      <c r="T943" t="str">
        <f>"14:46:43.045"</f>
        <v>14:46:43.045</v>
      </c>
      <c r="U943" t="str">
        <f t="shared" si="42"/>
        <v>A0F928</v>
      </c>
      <c r="V943">
        <v>0</v>
      </c>
      <c r="W943">
        <v>0</v>
      </c>
      <c r="X943">
        <v>2</v>
      </c>
      <c r="Z943">
        <v>0</v>
      </c>
      <c r="AA943">
        <v>9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2</v>
      </c>
      <c r="AH943">
        <v>1</v>
      </c>
      <c r="AI943" t="s">
        <v>571</v>
      </c>
      <c r="AJ943">
        <v>35.823068999999997</v>
      </c>
      <c r="AK943" t="s">
        <v>572</v>
      </c>
      <c r="AL943">
        <v>-83.944495000000003</v>
      </c>
      <c r="AM943">
        <v>25</v>
      </c>
      <c r="AN943">
        <v>1550</v>
      </c>
      <c r="AO943" t="s">
        <v>118</v>
      </c>
      <c r="AP943">
        <v>82</v>
      </c>
      <c r="AQ943">
        <v>91</v>
      </c>
      <c r="AR943">
        <v>-256</v>
      </c>
      <c r="AZ943">
        <v>300</v>
      </c>
      <c r="BA943">
        <v>1</v>
      </c>
      <c r="BB943" t="str">
        <f t="shared" si="44"/>
        <v xml:space="preserve">N162AM  </v>
      </c>
      <c r="BC943">
        <v>1</v>
      </c>
      <c r="BE943">
        <v>0</v>
      </c>
      <c r="BF943">
        <v>0</v>
      </c>
      <c r="BG943">
        <v>0</v>
      </c>
      <c r="BH943">
        <v>1800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>"14:46:43.451"</f>
        <v>14:46:43.451</v>
      </c>
      <c r="CJ943">
        <v>3</v>
      </c>
      <c r="CK943">
        <v>2</v>
      </c>
      <c r="CL943">
        <v>0</v>
      </c>
      <c r="CM943">
        <v>2</v>
      </c>
      <c r="CN943">
        <v>0</v>
      </c>
      <c r="CO943">
        <v>6</v>
      </c>
      <c r="CP943" t="s">
        <v>119</v>
      </c>
      <c r="CQ943">
        <v>232</v>
      </c>
      <c r="CR943">
        <v>1</v>
      </c>
      <c r="CW943">
        <v>15202133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1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"12/16/2021 14:46:43.632"</f>
        <v>12/16/2021 14:46:43.632</v>
      </c>
      <c r="C944" t="str">
        <f t="shared" si="43"/>
        <v>FFDFD3C0</v>
      </c>
      <c r="D944" t="s">
        <v>124</v>
      </c>
      <c r="E944">
        <v>5</v>
      </c>
      <c r="F944">
        <v>1005</v>
      </c>
      <c r="G944" t="s">
        <v>114</v>
      </c>
      <c r="J944" t="s">
        <v>125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"14:46:43.445"</f>
        <v>14:46:43.445</v>
      </c>
      <c r="T944" t="str">
        <f>"14:46:43.045"</f>
        <v>14:46:43.045</v>
      </c>
      <c r="U944" t="str">
        <f t="shared" si="42"/>
        <v>A0F928</v>
      </c>
      <c r="V944">
        <v>0</v>
      </c>
      <c r="W944">
        <v>0</v>
      </c>
      <c r="X944">
        <v>2</v>
      </c>
      <c r="Z944">
        <v>0</v>
      </c>
      <c r="AA944">
        <v>9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2</v>
      </c>
      <c r="AH944">
        <v>1</v>
      </c>
      <c r="AI944" t="s">
        <v>571</v>
      </c>
      <c r="AJ944">
        <v>35.823068999999997</v>
      </c>
      <c r="AK944" t="s">
        <v>572</v>
      </c>
      <c r="AL944">
        <v>-83.944495000000003</v>
      </c>
      <c r="AM944">
        <v>25</v>
      </c>
      <c r="AN944">
        <v>1550</v>
      </c>
      <c r="AO944" t="s">
        <v>118</v>
      </c>
      <c r="AP944">
        <v>82</v>
      </c>
      <c r="AQ944">
        <v>91</v>
      </c>
      <c r="AR944">
        <v>-256</v>
      </c>
      <c r="AZ944">
        <v>300</v>
      </c>
      <c r="BA944">
        <v>1</v>
      </c>
      <c r="BB944" t="str">
        <f t="shared" si="44"/>
        <v xml:space="preserve">N162AM  </v>
      </c>
      <c r="BC944">
        <v>1</v>
      </c>
      <c r="BE944">
        <v>0</v>
      </c>
      <c r="BF944">
        <v>0</v>
      </c>
      <c r="BG944">
        <v>0</v>
      </c>
      <c r="BH944">
        <v>1800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>"14:46:43.451"</f>
        <v>14:46:43.451</v>
      </c>
      <c r="CJ944">
        <v>3</v>
      </c>
      <c r="CK944">
        <v>2</v>
      </c>
      <c r="CL944">
        <v>0</v>
      </c>
      <c r="CM944">
        <v>2</v>
      </c>
      <c r="CN944">
        <v>0</v>
      </c>
      <c r="CO944">
        <v>6</v>
      </c>
      <c r="CP944" t="s">
        <v>119</v>
      </c>
      <c r="CQ944">
        <v>232</v>
      </c>
      <c r="CR944">
        <v>1</v>
      </c>
      <c r="CW944">
        <v>15202133</v>
      </c>
      <c r="CY944">
        <v>1</v>
      </c>
      <c r="CZ944">
        <v>0</v>
      </c>
      <c r="DA944">
        <v>1</v>
      </c>
      <c r="DB944">
        <v>0</v>
      </c>
      <c r="DC944">
        <v>0</v>
      </c>
      <c r="DD944">
        <v>1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"12/16/2021 14:46:44.787"</f>
        <v>12/16/2021 14:46:44.787</v>
      </c>
      <c r="C945" t="str">
        <f t="shared" si="43"/>
        <v>FFDFD3C0</v>
      </c>
      <c r="D945" t="s">
        <v>124</v>
      </c>
      <c r="E945">
        <v>10</v>
      </c>
      <c r="F945">
        <v>1010</v>
      </c>
      <c r="G945" t="s">
        <v>130</v>
      </c>
      <c r="J945" t="s">
        <v>125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"14:46:44.570"</f>
        <v>14:46:44.570</v>
      </c>
      <c r="T945" t="str">
        <f>"14:46:44.070"</f>
        <v>14:46:44.070</v>
      </c>
      <c r="U945" t="str">
        <f t="shared" si="42"/>
        <v>A0F928</v>
      </c>
      <c r="V945">
        <v>0</v>
      </c>
      <c r="W945">
        <v>0</v>
      </c>
      <c r="X945">
        <v>2</v>
      </c>
      <c r="Z945">
        <v>0</v>
      </c>
      <c r="AA945">
        <v>9</v>
      </c>
      <c r="AB945">
        <v>3</v>
      </c>
      <c r="AC945">
        <v>0</v>
      </c>
      <c r="AD945">
        <v>10</v>
      </c>
      <c r="AE945">
        <v>0</v>
      </c>
      <c r="AF945">
        <v>0</v>
      </c>
      <c r="AG945">
        <v>2</v>
      </c>
      <c r="AH945">
        <v>1</v>
      </c>
      <c r="AI945" t="s">
        <v>573</v>
      </c>
      <c r="AJ945">
        <v>35.823540999999999</v>
      </c>
      <c r="AK945" t="s">
        <v>399</v>
      </c>
      <c r="AL945">
        <v>-83.944023000000001</v>
      </c>
      <c r="AM945">
        <v>25</v>
      </c>
      <c r="AN945">
        <v>1525</v>
      </c>
      <c r="AO945" t="s">
        <v>118</v>
      </c>
      <c r="AP945">
        <v>78</v>
      </c>
      <c r="AQ945">
        <v>94</v>
      </c>
      <c r="AR945">
        <v>-256</v>
      </c>
      <c r="AZ945">
        <v>300</v>
      </c>
      <c r="BA945">
        <v>1</v>
      </c>
      <c r="BB945" t="str">
        <f t="shared" si="44"/>
        <v xml:space="preserve">N162AM  </v>
      </c>
      <c r="BC945">
        <v>1</v>
      </c>
      <c r="BE945">
        <v>0</v>
      </c>
      <c r="BF945">
        <v>0</v>
      </c>
      <c r="BG945">
        <v>0</v>
      </c>
      <c r="BH945">
        <v>1800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>"14:46:44.574"</f>
        <v>14:46:44.574</v>
      </c>
      <c r="CJ945">
        <v>2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232</v>
      </c>
      <c r="CR945">
        <v>1</v>
      </c>
      <c r="CW945">
        <v>15203719</v>
      </c>
      <c r="CY945">
        <v>1</v>
      </c>
      <c r="CZ945">
        <v>0</v>
      </c>
      <c r="DA945">
        <v>0</v>
      </c>
      <c r="DB945">
        <v>0</v>
      </c>
      <c r="DC945">
        <v>0</v>
      </c>
      <c r="DD945">
        <v>1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"12/16/2021 14:46:44.803"</f>
        <v>12/16/2021 14:46:44.803</v>
      </c>
      <c r="C946" t="str">
        <f t="shared" si="43"/>
        <v>FFDFD3C0</v>
      </c>
      <c r="D946" t="s">
        <v>113</v>
      </c>
      <c r="E946">
        <v>8</v>
      </c>
      <c r="H946">
        <v>176</v>
      </c>
      <c r="I946" t="s">
        <v>114</v>
      </c>
      <c r="J946" t="s">
        <v>115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"14:46:44.570"</f>
        <v>14:46:44.570</v>
      </c>
      <c r="T946" t="str">
        <f>"14:46:44.070"</f>
        <v>14:46:44.070</v>
      </c>
      <c r="U946" t="str">
        <f t="shared" si="42"/>
        <v>A0F928</v>
      </c>
      <c r="V946">
        <v>0</v>
      </c>
      <c r="W946">
        <v>0</v>
      </c>
      <c r="X946">
        <v>2</v>
      </c>
      <c r="Z946">
        <v>0</v>
      </c>
      <c r="AA946">
        <v>9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2</v>
      </c>
      <c r="AH946">
        <v>1</v>
      </c>
      <c r="AI946" t="s">
        <v>573</v>
      </c>
      <c r="AJ946">
        <v>35.823540999999999</v>
      </c>
      <c r="AK946" t="s">
        <v>399</v>
      </c>
      <c r="AL946">
        <v>-83.944023000000001</v>
      </c>
      <c r="AM946">
        <v>25</v>
      </c>
      <c r="AN946">
        <v>1525</v>
      </c>
      <c r="AO946" t="s">
        <v>118</v>
      </c>
      <c r="AP946">
        <v>78</v>
      </c>
      <c r="AQ946">
        <v>94</v>
      </c>
      <c r="AR946">
        <v>-256</v>
      </c>
      <c r="AZ946">
        <v>300</v>
      </c>
      <c r="BA946">
        <v>1</v>
      </c>
      <c r="BB946" t="str">
        <f t="shared" si="44"/>
        <v xml:space="preserve">N162AM  </v>
      </c>
      <c r="BC946">
        <v>1</v>
      </c>
      <c r="BE946">
        <v>0</v>
      </c>
      <c r="BF946">
        <v>0</v>
      </c>
      <c r="BG946">
        <v>0</v>
      </c>
      <c r="BH946">
        <v>1800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>"14:46:44.574"</f>
        <v>14:46:44.574</v>
      </c>
      <c r="CJ946">
        <v>3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232</v>
      </c>
      <c r="CR946">
        <v>1</v>
      </c>
      <c r="CW946">
        <v>15203719</v>
      </c>
      <c r="CY946">
        <v>1</v>
      </c>
      <c r="CZ946">
        <v>0</v>
      </c>
      <c r="DA946">
        <v>1</v>
      </c>
      <c r="DB946">
        <v>0</v>
      </c>
      <c r="DC946">
        <v>0</v>
      </c>
      <c r="DD946">
        <v>1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"12/16/2021 14:46:44.803"</f>
        <v>12/16/2021 14:46:44.803</v>
      </c>
      <c r="C947" t="str">
        <f t="shared" si="43"/>
        <v>FFDFD3C0</v>
      </c>
      <c r="D947" t="s">
        <v>124</v>
      </c>
      <c r="E947">
        <v>5</v>
      </c>
      <c r="F947">
        <v>1005</v>
      </c>
      <c r="G947" t="s">
        <v>114</v>
      </c>
      <c r="J947" t="s">
        <v>125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"14:46:44.570"</f>
        <v>14:46:44.570</v>
      </c>
      <c r="T947" t="str">
        <f>"14:46:44.070"</f>
        <v>14:46:44.070</v>
      </c>
      <c r="U947" t="str">
        <f t="shared" si="42"/>
        <v>A0F928</v>
      </c>
      <c r="V947">
        <v>0</v>
      </c>
      <c r="W947">
        <v>0</v>
      </c>
      <c r="X947">
        <v>2</v>
      </c>
      <c r="Z947">
        <v>0</v>
      </c>
      <c r="AA947">
        <v>9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2</v>
      </c>
      <c r="AH947">
        <v>1</v>
      </c>
      <c r="AI947" t="s">
        <v>573</v>
      </c>
      <c r="AJ947">
        <v>35.823540999999999</v>
      </c>
      <c r="AK947" t="s">
        <v>399</v>
      </c>
      <c r="AL947">
        <v>-83.944023000000001</v>
      </c>
      <c r="AM947">
        <v>25</v>
      </c>
      <c r="AN947">
        <v>1525</v>
      </c>
      <c r="AO947" t="s">
        <v>118</v>
      </c>
      <c r="AP947">
        <v>78</v>
      </c>
      <c r="AQ947">
        <v>94</v>
      </c>
      <c r="AR947">
        <v>-256</v>
      </c>
      <c r="AZ947">
        <v>300</v>
      </c>
      <c r="BA947">
        <v>1</v>
      </c>
      <c r="BB947" t="str">
        <f t="shared" si="44"/>
        <v xml:space="preserve">N162AM  </v>
      </c>
      <c r="BC947">
        <v>1</v>
      </c>
      <c r="BE947">
        <v>0</v>
      </c>
      <c r="BF947">
        <v>0</v>
      </c>
      <c r="BG947">
        <v>0</v>
      </c>
      <c r="BH947">
        <v>1800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>"14:46:44.574"</f>
        <v>14:46:44.574</v>
      </c>
      <c r="CJ947">
        <v>3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119</v>
      </c>
      <c r="CQ947">
        <v>232</v>
      </c>
      <c r="CR947">
        <v>1</v>
      </c>
      <c r="CW947">
        <v>15203719</v>
      </c>
      <c r="CY947">
        <v>1</v>
      </c>
      <c r="CZ947">
        <v>0</v>
      </c>
      <c r="DA947">
        <v>1</v>
      </c>
      <c r="DB947">
        <v>0</v>
      </c>
      <c r="DC947">
        <v>0</v>
      </c>
      <c r="DD947">
        <v>1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"12/16/2021 14:46:44.818"</f>
        <v>12/16/2021 14:46:44.818</v>
      </c>
      <c r="C948" t="str">
        <f t="shared" si="43"/>
        <v>FFDFD3C0</v>
      </c>
      <c r="D948" t="s">
        <v>133</v>
      </c>
      <c r="E948">
        <v>44</v>
      </c>
      <c r="H948">
        <v>131</v>
      </c>
      <c r="I948" t="s">
        <v>134</v>
      </c>
      <c r="J948" t="s">
        <v>135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"14:46:44.570"</f>
        <v>14:46:44.570</v>
      </c>
      <c r="T948" t="str">
        <f>"14:46:44.070"</f>
        <v>14:46:44.070</v>
      </c>
      <c r="U948" t="str">
        <f t="shared" si="42"/>
        <v>A0F928</v>
      </c>
      <c r="V948">
        <v>0</v>
      </c>
      <c r="W948">
        <v>0</v>
      </c>
      <c r="X948">
        <v>2</v>
      </c>
      <c r="Z948">
        <v>0</v>
      </c>
      <c r="AA948">
        <v>9</v>
      </c>
      <c r="AB948">
        <v>3</v>
      </c>
      <c r="AC948">
        <v>0</v>
      </c>
      <c r="AD948">
        <v>10</v>
      </c>
      <c r="AE948">
        <v>0</v>
      </c>
      <c r="AF948">
        <v>3</v>
      </c>
      <c r="AG948">
        <v>2</v>
      </c>
      <c r="AH948">
        <v>1</v>
      </c>
      <c r="AI948" t="s">
        <v>573</v>
      </c>
      <c r="AJ948">
        <v>35.823540999999999</v>
      </c>
      <c r="AK948" t="s">
        <v>399</v>
      </c>
      <c r="AL948">
        <v>-83.944023000000001</v>
      </c>
      <c r="AM948">
        <v>25</v>
      </c>
      <c r="AN948">
        <v>1525</v>
      </c>
      <c r="AO948" t="s">
        <v>118</v>
      </c>
      <c r="AP948">
        <v>78</v>
      </c>
      <c r="AQ948">
        <v>94</v>
      </c>
      <c r="AR948">
        <v>-256</v>
      </c>
      <c r="AZ948">
        <v>300</v>
      </c>
      <c r="BA948">
        <v>1</v>
      </c>
      <c r="BB948" t="str">
        <f t="shared" si="44"/>
        <v xml:space="preserve">N162AM  </v>
      </c>
      <c r="BC948">
        <v>1</v>
      </c>
      <c r="BE948">
        <v>0</v>
      </c>
      <c r="BF948">
        <v>0</v>
      </c>
      <c r="BG948">
        <v>0</v>
      </c>
      <c r="BH948">
        <v>1800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>"14:46:44.574"</f>
        <v>14:46:44.574</v>
      </c>
      <c r="CJ948">
        <v>3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119</v>
      </c>
      <c r="CQ948">
        <v>232</v>
      </c>
      <c r="CR948">
        <v>1</v>
      </c>
      <c r="CW948">
        <v>15203719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1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"12/16/2021 14:46:45.740"</f>
        <v>12/16/2021 14:46:45.740</v>
      </c>
      <c r="C949" t="str">
        <f t="shared" si="43"/>
        <v>FFDFD3C0</v>
      </c>
      <c r="D949" t="s">
        <v>124</v>
      </c>
      <c r="E949">
        <v>10</v>
      </c>
      <c r="F949">
        <v>1010</v>
      </c>
      <c r="G949" t="s">
        <v>130</v>
      </c>
      <c r="J949" t="s">
        <v>125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"14:46:45.539"</f>
        <v>14:46:45.539</v>
      </c>
      <c r="T949" t="str">
        <f>"14:46:45.039"</f>
        <v>14:46:45.039</v>
      </c>
      <c r="U949" t="str">
        <f t="shared" si="42"/>
        <v>A0F928</v>
      </c>
      <c r="V949">
        <v>0</v>
      </c>
      <c r="W949">
        <v>0</v>
      </c>
      <c r="X949">
        <v>2</v>
      </c>
      <c r="Z949">
        <v>0</v>
      </c>
      <c r="AA949">
        <v>9</v>
      </c>
      <c r="AB949">
        <v>3</v>
      </c>
      <c r="AC949">
        <v>0</v>
      </c>
      <c r="AD949">
        <v>10</v>
      </c>
      <c r="AE949">
        <v>0</v>
      </c>
      <c r="AF949">
        <v>0</v>
      </c>
      <c r="AG949">
        <v>2</v>
      </c>
      <c r="AH949">
        <v>1</v>
      </c>
      <c r="AI949" t="s">
        <v>574</v>
      </c>
      <c r="AJ949">
        <v>35.823948000000001</v>
      </c>
      <c r="AK949" t="s">
        <v>481</v>
      </c>
      <c r="AL949">
        <v>-83.943679000000003</v>
      </c>
      <c r="AM949">
        <v>25</v>
      </c>
      <c r="AN949">
        <v>1525</v>
      </c>
      <c r="AO949" t="s">
        <v>118</v>
      </c>
      <c r="AP949">
        <v>74</v>
      </c>
      <c r="AQ949">
        <v>96</v>
      </c>
      <c r="AR949">
        <v>-256</v>
      </c>
      <c r="AZ949">
        <v>300</v>
      </c>
      <c r="BA949">
        <v>1</v>
      </c>
      <c r="BB949" t="str">
        <f t="shared" si="44"/>
        <v xml:space="preserve">N162AM  </v>
      </c>
      <c r="BC949">
        <v>1</v>
      </c>
      <c r="BE949">
        <v>0</v>
      </c>
      <c r="BF949">
        <v>0</v>
      </c>
      <c r="BG949">
        <v>0</v>
      </c>
      <c r="BH949">
        <v>1775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>"14:46:45.540"</f>
        <v>14:46:45.540</v>
      </c>
      <c r="CJ949">
        <v>2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119</v>
      </c>
      <c r="CQ949">
        <v>232</v>
      </c>
      <c r="CR949">
        <v>1</v>
      </c>
      <c r="CW949">
        <v>15205139</v>
      </c>
      <c r="CY949">
        <v>1</v>
      </c>
      <c r="CZ949">
        <v>0</v>
      </c>
      <c r="DA949">
        <v>0</v>
      </c>
      <c r="DB949">
        <v>0</v>
      </c>
      <c r="DC949">
        <v>0</v>
      </c>
      <c r="DD949">
        <v>1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"12/16/2021 14:46:45.787"</f>
        <v>12/16/2021 14:46:45.787</v>
      </c>
      <c r="C950" t="str">
        <f t="shared" si="43"/>
        <v>FFDFD3C0</v>
      </c>
      <c r="D950" t="s">
        <v>113</v>
      </c>
      <c r="E950">
        <v>8</v>
      </c>
      <c r="H950">
        <v>176</v>
      </c>
      <c r="I950" t="s">
        <v>114</v>
      </c>
      <c r="J950" t="s">
        <v>115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"14:46:45.539"</f>
        <v>14:46:45.539</v>
      </c>
      <c r="T950" t="str">
        <f>"14:46:45.039"</f>
        <v>14:46:45.039</v>
      </c>
      <c r="U950" t="str">
        <f t="shared" si="42"/>
        <v>A0F928</v>
      </c>
      <c r="V950">
        <v>0</v>
      </c>
      <c r="W950">
        <v>0</v>
      </c>
      <c r="X950">
        <v>2</v>
      </c>
      <c r="Z950">
        <v>0</v>
      </c>
      <c r="AA950">
        <v>9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2</v>
      </c>
      <c r="AH950">
        <v>1</v>
      </c>
      <c r="AI950" t="s">
        <v>574</v>
      </c>
      <c r="AJ950">
        <v>35.823948000000001</v>
      </c>
      <c r="AK950" t="s">
        <v>481</v>
      </c>
      <c r="AL950">
        <v>-83.943679000000003</v>
      </c>
      <c r="AM950">
        <v>25</v>
      </c>
      <c r="AN950">
        <v>1525</v>
      </c>
      <c r="AO950" t="s">
        <v>118</v>
      </c>
      <c r="AP950">
        <v>74</v>
      </c>
      <c r="AQ950">
        <v>96</v>
      </c>
      <c r="AR950">
        <v>-256</v>
      </c>
      <c r="AZ950">
        <v>300</v>
      </c>
      <c r="BA950">
        <v>1</v>
      </c>
      <c r="BB950" t="str">
        <f t="shared" si="44"/>
        <v xml:space="preserve">N162AM  </v>
      </c>
      <c r="BC950">
        <v>1</v>
      </c>
      <c r="BE950">
        <v>0</v>
      </c>
      <c r="BF950">
        <v>0</v>
      </c>
      <c r="BG950">
        <v>0</v>
      </c>
      <c r="BH950">
        <v>1775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>"14:46:45.540"</f>
        <v>14:46:45.540</v>
      </c>
      <c r="CJ950">
        <v>3</v>
      </c>
      <c r="CK950">
        <v>2</v>
      </c>
      <c r="CL950">
        <v>0</v>
      </c>
      <c r="CM950">
        <v>2</v>
      </c>
      <c r="CN950">
        <v>0</v>
      </c>
      <c r="CO950">
        <v>7</v>
      </c>
      <c r="CP950" t="s">
        <v>119</v>
      </c>
      <c r="CQ950">
        <v>232</v>
      </c>
      <c r="CR950">
        <v>1</v>
      </c>
      <c r="CW950">
        <v>15205139</v>
      </c>
      <c r="CY950">
        <v>1</v>
      </c>
      <c r="CZ950">
        <v>0</v>
      </c>
      <c r="DA950">
        <v>1</v>
      </c>
      <c r="DB950">
        <v>0</v>
      </c>
      <c r="DC950">
        <v>0</v>
      </c>
      <c r="DD950">
        <v>1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"12/16/2021 14:46:45.787"</f>
        <v>12/16/2021 14:46:45.787</v>
      </c>
      <c r="C951" t="str">
        <f t="shared" si="43"/>
        <v>FFDFD3C0</v>
      </c>
      <c r="D951" t="s">
        <v>124</v>
      </c>
      <c r="E951">
        <v>5</v>
      </c>
      <c r="F951">
        <v>1005</v>
      </c>
      <c r="G951" t="s">
        <v>114</v>
      </c>
      <c r="J951" t="s">
        <v>125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"14:46:45.539"</f>
        <v>14:46:45.539</v>
      </c>
      <c r="T951" t="str">
        <f>"14:46:45.039"</f>
        <v>14:46:45.039</v>
      </c>
      <c r="U951" t="str">
        <f t="shared" si="42"/>
        <v>A0F928</v>
      </c>
      <c r="V951">
        <v>0</v>
      </c>
      <c r="W951">
        <v>0</v>
      </c>
      <c r="X951">
        <v>2</v>
      </c>
      <c r="Z951">
        <v>0</v>
      </c>
      <c r="AA951">
        <v>9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2</v>
      </c>
      <c r="AH951">
        <v>1</v>
      </c>
      <c r="AI951" t="s">
        <v>574</v>
      </c>
      <c r="AJ951">
        <v>35.823948000000001</v>
      </c>
      <c r="AK951" t="s">
        <v>481</v>
      </c>
      <c r="AL951">
        <v>-83.943679000000003</v>
      </c>
      <c r="AM951">
        <v>25</v>
      </c>
      <c r="AN951">
        <v>1525</v>
      </c>
      <c r="AO951" t="s">
        <v>118</v>
      </c>
      <c r="AP951">
        <v>74</v>
      </c>
      <c r="AQ951">
        <v>96</v>
      </c>
      <c r="AR951">
        <v>-256</v>
      </c>
      <c r="AZ951">
        <v>300</v>
      </c>
      <c r="BA951">
        <v>1</v>
      </c>
      <c r="BB951" t="str">
        <f t="shared" si="44"/>
        <v xml:space="preserve">N162AM  </v>
      </c>
      <c r="BC951">
        <v>1</v>
      </c>
      <c r="BE951">
        <v>0</v>
      </c>
      <c r="BF951">
        <v>0</v>
      </c>
      <c r="BG951">
        <v>0</v>
      </c>
      <c r="BH951">
        <v>1775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>"14:46:45.540"</f>
        <v>14:46:45.540</v>
      </c>
      <c r="CJ951">
        <v>3</v>
      </c>
      <c r="CK951">
        <v>2</v>
      </c>
      <c r="CL951">
        <v>0</v>
      </c>
      <c r="CM951">
        <v>2</v>
      </c>
      <c r="CN951">
        <v>0</v>
      </c>
      <c r="CO951">
        <v>7</v>
      </c>
      <c r="CP951" t="s">
        <v>119</v>
      </c>
      <c r="CQ951">
        <v>232</v>
      </c>
      <c r="CR951">
        <v>1</v>
      </c>
      <c r="CW951">
        <v>15205139</v>
      </c>
      <c r="CY951">
        <v>1</v>
      </c>
      <c r="CZ951">
        <v>0</v>
      </c>
      <c r="DA951">
        <v>1</v>
      </c>
      <c r="DB951">
        <v>0</v>
      </c>
      <c r="DC951">
        <v>0</v>
      </c>
      <c r="DD951">
        <v>1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"12/16/2021 14:46:45.787"</f>
        <v>12/16/2021 14:46:45.787</v>
      </c>
      <c r="C952" t="str">
        <f t="shared" si="43"/>
        <v>FFDFD3C0</v>
      </c>
      <c r="D952" t="s">
        <v>133</v>
      </c>
      <c r="E952">
        <v>44</v>
      </c>
      <c r="H952">
        <v>131</v>
      </c>
      <c r="I952" t="s">
        <v>134</v>
      </c>
      <c r="J952" t="s">
        <v>135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"14:46:45.539"</f>
        <v>14:46:45.539</v>
      </c>
      <c r="T952" t="str">
        <f>"14:46:45.039"</f>
        <v>14:46:45.039</v>
      </c>
      <c r="U952" t="str">
        <f t="shared" si="42"/>
        <v>A0F928</v>
      </c>
      <c r="V952">
        <v>0</v>
      </c>
      <c r="W952">
        <v>0</v>
      </c>
      <c r="X952">
        <v>2</v>
      </c>
      <c r="Z952">
        <v>0</v>
      </c>
      <c r="AA952">
        <v>9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2</v>
      </c>
      <c r="AH952">
        <v>1</v>
      </c>
      <c r="AI952" t="s">
        <v>574</v>
      </c>
      <c r="AJ952">
        <v>35.823948000000001</v>
      </c>
      <c r="AK952" t="s">
        <v>481</v>
      </c>
      <c r="AL952">
        <v>-83.943679000000003</v>
      </c>
      <c r="AM952">
        <v>25</v>
      </c>
      <c r="AN952">
        <v>1525</v>
      </c>
      <c r="AO952" t="s">
        <v>118</v>
      </c>
      <c r="AP952">
        <v>74</v>
      </c>
      <c r="AQ952">
        <v>96</v>
      </c>
      <c r="AR952">
        <v>-256</v>
      </c>
      <c r="AZ952">
        <v>300</v>
      </c>
      <c r="BA952">
        <v>1</v>
      </c>
      <c r="BB952" t="str">
        <f t="shared" si="44"/>
        <v xml:space="preserve">N162AM  </v>
      </c>
      <c r="BC952">
        <v>1</v>
      </c>
      <c r="BE952">
        <v>0</v>
      </c>
      <c r="BF952">
        <v>0</v>
      </c>
      <c r="BG952">
        <v>0</v>
      </c>
      <c r="BH952">
        <v>1775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>"14:46:45.540"</f>
        <v>14:46:45.540</v>
      </c>
      <c r="CJ952">
        <v>3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119</v>
      </c>
      <c r="CQ952">
        <v>232</v>
      </c>
      <c r="CR952">
        <v>1</v>
      </c>
      <c r="CW952">
        <v>15205139</v>
      </c>
      <c r="CY952">
        <v>1</v>
      </c>
      <c r="CZ952">
        <v>0</v>
      </c>
      <c r="DA952">
        <v>1</v>
      </c>
      <c r="DB952">
        <v>0</v>
      </c>
      <c r="DC952">
        <v>0</v>
      </c>
      <c r="DD952">
        <v>1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"12/16/2021 14:46:46.756"</f>
        <v>12/16/2021 14:46:46.756</v>
      </c>
      <c r="C953" t="str">
        <f t="shared" si="43"/>
        <v>FFDFD3C0</v>
      </c>
      <c r="D953" t="s">
        <v>124</v>
      </c>
      <c r="E953">
        <v>10</v>
      </c>
      <c r="F953">
        <v>1010</v>
      </c>
      <c r="G953" t="s">
        <v>130</v>
      </c>
      <c r="J953" t="s">
        <v>125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"14:46:46.570"</f>
        <v>14:46:46.570</v>
      </c>
      <c r="T953" t="str">
        <f>"14:46:46.070"</f>
        <v>14:46:46.070</v>
      </c>
      <c r="U953" t="str">
        <f t="shared" si="42"/>
        <v>A0F928</v>
      </c>
      <c r="V953">
        <v>0</v>
      </c>
      <c r="W953">
        <v>0</v>
      </c>
      <c r="X953">
        <v>2</v>
      </c>
      <c r="Z953">
        <v>0</v>
      </c>
      <c r="AA953">
        <v>9</v>
      </c>
      <c r="AB953">
        <v>3</v>
      </c>
      <c r="AC953">
        <v>0</v>
      </c>
      <c r="AD953">
        <v>10</v>
      </c>
      <c r="AE953">
        <v>0</v>
      </c>
      <c r="AF953">
        <v>0</v>
      </c>
      <c r="AG953">
        <v>2</v>
      </c>
      <c r="AH953">
        <v>1</v>
      </c>
      <c r="AI953" t="s">
        <v>575</v>
      </c>
      <c r="AJ953">
        <v>35.824441999999998</v>
      </c>
      <c r="AK953" t="s">
        <v>576</v>
      </c>
      <c r="AL953">
        <v>-83.943207000000001</v>
      </c>
      <c r="AM953">
        <v>25</v>
      </c>
      <c r="AN953">
        <v>1525</v>
      </c>
      <c r="AO953" t="s">
        <v>118</v>
      </c>
      <c r="AP953">
        <v>69</v>
      </c>
      <c r="AQ953">
        <v>100</v>
      </c>
      <c r="AR953">
        <v>-256</v>
      </c>
      <c r="AZ953">
        <v>300</v>
      </c>
      <c r="BA953">
        <v>1</v>
      </c>
      <c r="BB953" t="str">
        <f t="shared" si="44"/>
        <v xml:space="preserve">N162AM  </v>
      </c>
      <c r="BC953">
        <v>1</v>
      </c>
      <c r="BE953">
        <v>0</v>
      </c>
      <c r="BF953">
        <v>0</v>
      </c>
      <c r="BG953">
        <v>0</v>
      </c>
      <c r="BH953">
        <v>1775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>"14:46:46.578"</f>
        <v>14:46:46.578</v>
      </c>
      <c r="CJ953">
        <v>2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232</v>
      </c>
      <c r="CR953">
        <v>1</v>
      </c>
      <c r="CW953">
        <v>15206704</v>
      </c>
      <c r="CY953">
        <v>1</v>
      </c>
      <c r="CZ953">
        <v>0</v>
      </c>
      <c r="DA953">
        <v>0</v>
      </c>
      <c r="DB953">
        <v>0</v>
      </c>
      <c r="DC953">
        <v>0</v>
      </c>
      <c r="DD953">
        <v>1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"12/16/2021 14:46:46.756"</f>
        <v>12/16/2021 14:46:46.756</v>
      </c>
      <c r="C954" t="str">
        <f t="shared" si="43"/>
        <v>FFDFD3C0</v>
      </c>
      <c r="D954" t="s">
        <v>124</v>
      </c>
      <c r="E954">
        <v>5</v>
      </c>
      <c r="F954">
        <v>1005</v>
      </c>
      <c r="G954" t="s">
        <v>114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"14:46:46.570"</f>
        <v>14:46:46.570</v>
      </c>
      <c r="T954" t="str">
        <f>"14:46:46.070"</f>
        <v>14:46:46.070</v>
      </c>
      <c r="U954" t="str">
        <f t="shared" si="42"/>
        <v>A0F928</v>
      </c>
      <c r="V954">
        <v>0</v>
      </c>
      <c r="W954">
        <v>0</v>
      </c>
      <c r="X954">
        <v>2</v>
      </c>
      <c r="Z954">
        <v>0</v>
      </c>
      <c r="AA954">
        <v>9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2</v>
      </c>
      <c r="AH954">
        <v>1</v>
      </c>
      <c r="AI954" t="s">
        <v>575</v>
      </c>
      <c r="AJ954">
        <v>35.824441999999998</v>
      </c>
      <c r="AK954" t="s">
        <v>576</v>
      </c>
      <c r="AL954">
        <v>-83.943207000000001</v>
      </c>
      <c r="AM954">
        <v>25</v>
      </c>
      <c r="AN954">
        <v>1525</v>
      </c>
      <c r="AO954" t="s">
        <v>118</v>
      </c>
      <c r="AP954">
        <v>69</v>
      </c>
      <c r="AQ954">
        <v>100</v>
      </c>
      <c r="AR954">
        <v>-256</v>
      </c>
      <c r="AZ954">
        <v>300</v>
      </c>
      <c r="BA954">
        <v>1</v>
      </c>
      <c r="BB954" t="str">
        <f t="shared" si="44"/>
        <v xml:space="preserve">N162AM  </v>
      </c>
      <c r="BC954">
        <v>1</v>
      </c>
      <c r="BE954">
        <v>0</v>
      </c>
      <c r="BF954">
        <v>0</v>
      </c>
      <c r="BG954">
        <v>0</v>
      </c>
      <c r="BH954">
        <v>1775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>"14:46:46.578"</f>
        <v>14:46:46.578</v>
      </c>
      <c r="CJ954">
        <v>3</v>
      </c>
      <c r="CK954">
        <v>2</v>
      </c>
      <c r="CL954">
        <v>0</v>
      </c>
      <c r="CM954">
        <v>2</v>
      </c>
      <c r="CN954">
        <v>0</v>
      </c>
      <c r="CO954">
        <v>7</v>
      </c>
      <c r="CP954" t="s">
        <v>119</v>
      </c>
      <c r="CQ954">
        <v>232</v>
      </c>
      <c r="CR954">
        <v>1</v>
      </c>
      <c r="CW954">
        <v>15206704</v>
      </c>
      <c r="CY954">
        <v>1</v>
      </c>
      <c r="CZ954">
        <v>0</v>
      </c>
      <c r="DA954">
        <v>1</v>
      </c>
      <c r="DB954">
        <v>0</v>
      </c>
      <c r="DC954">
        <v>0</v>
      </c>
      <c r="DD954">
        <v>1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"12/16/2021 14:46:46.756"</f>
        <v>12/16/2021 14:46:46.756</v>
      </c>
      <c r="C955" t="str">
        <f t="shared" si="43"/>
        <v>FFDFD3C0</v>
      </c>
      <c r="D955" t="s">
        <v>113</v>
      </c>
      <c r="E955">
        <v>8</v>
      </c>
      <c r="H955">
        <v>176</v>
      </c>
      <c r="I955" t="s">
        <v>114</v>
      </c>
      <c r="J955" t="s">
        <v>115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"14:46:46.570"</f>
        <v>14:46:46.570</v>
      </c>
      <c r="T955" t="str">
        <f>"14:46:46.070"</f>
        <v>14:46:46.070</v>
      </c>
      <c r="U955" t="str">
        <f t="shared" si="42"/>
        <v>A0F928</v>
      </c>
      <c r="V955">
        <v>0</v>
      </c>
      <c r="W955">
        <v>0</v>
      </c>
      <c r="X955">
        <v>2</v>
      </c>
      <c r="Z955">
        <v>0</v>
      </c>
      <c r="AA955">
        <v>9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2</v>
      </c>
      <c r="AH955">
        <v>1</v>
      </c>
      <c r="AI955" t="s">
        <v>575</v>
      </c>
      <c r="AJ955">
        <v>35.824441999999998</v>
      </c>
      <c r="AK955" t="s">
        <v>576</v>
      </c>
      <c r="AL955">
        <v>-83.943207000000001</v>
      </c>
      <c r="AM955">
        <v>25</v>
      </c>
      <c r="AN955">
        <v>1525</v>
      </c>
      <c r="AO955" t="s">
        <v>118</v>
      </c>
      <c r="AP955">
        <v>69</v>
      </c>
      <c r="AQ955">
        <v>100</v>
      </c>
      <c r="AR955">
        <v>-256</v>
      </c>
      <c r="AZ955">
        <v>300</v>
      </c>
      <c r="BA955">
        <v>1</v>
      </c>
      <c r="BB955" t="str">
        <f t="shared" si="44"/>
        <v xml:space="preserve">N162AM  </v>
      </c>
      <c r="BC955">
        <v>1</v>
      </c>
      <c r="BE955">
        <v>0</v>
      </c>
      <c r="BF955">
        <v>0</v>
      </c>
      <c r="BG955">
        <v>0</v>
      </c>
      <c r="BH955">
        <v>1775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>"14:46:46.578"</f>
        <v>14:46:46.578</v>
      </c>
      <c r="CJ955">
        <v>3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232</v>
      </c>
      <c r="CR955">
        <v>1</v>
      </c>
      <c r="CW955">
        <v>15206704</v>
      </c>
      <c r="CY955">
        <v>1</v>
      </c>
      <c r="CZ955">
        <v>0</v>
      </c>
      <c r="DA955">
        <v>1</v>
      </c>
      <c r="DB955">
        <v>0</v>
      </c>
      <c r="DC955">
        <v>0</v>
      </c>
      <c r="DD955">
        <v>1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"12/16/2021 14:46:46.803"</f>
        <v>12/16/2021 14:46:46.803</v>
      </c>
      <c r="C956" t="str">
        <f t="shared" si="43"/>
        <v>FFDFD3C0</v>
      </c>
      <c r="D956" t="s">
        <v>133</v>
      </c>
      <c r="E956">
        <v>44</v>
      </c>
      <c r="H956">
        <v>131</v>
      </c>
      <c r="I956" t="s">
        <v>134</v>
      </c>
      <c r="J956" t="s">
        <v>135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"14:46:46.570"</f>
        <v>14:46:46.570</v>
      </c>
      <c r="T956" t="str">
        <f>"14:46:46.070"</f>
        <v>14:46:46.070</v>
      </c>
      <c r="U956" t="str">
        <f t="shared" si="42"/>
        <v>A0F928</v>
      </c>
      <c r="V956">
        <v>0</v>
      </c>
      <c r="W956">
        <v>0</v>
      </c>
      <c r="X956">
        <v>2</v>
      </c>
      <c r="Z956">
        <v>0</v>
      </c>
      <c r="AA956">
        <v>9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2</v>
      </c>
      <c r="AH956">
        <v>1</v>
      </c>
      <c r="AI956" t="s">
        <v>575</v>
      </c>
      <c r="AJ956">
        <v>35.824441999999998</v>
      </c>
      <c r="AK956" t="s">
        <v>576</v>
      </c>
      <c r="AL956">
        <v>-83.943207000000001</v>
      </c>
      <c r="AM956">
        <v>25</v>
      </c>
      <c r="AN956">
        <v>1525</v>
      </c>
      <c r="AO956" t="s">
        <v>118</v>
      </c>
      <c r="AP956">
        <v>69</v>
      </c>
      <c r="AQ956">
        <v>100</v>
      </c>
      <c r="AR956">
        <v>-256</v>
      </c>
      <c r="AZ956">
        <v>300</v>
      </c>
      <c r="BA956">
        <v>1</v>
      </c>
      <c r="BB956" t="str">
        <f t="shared" si="44"/>
        <v xml:space="preserve">N162AM  </v>
      </c>
      <c r="BC956">
        <v>1</v>
      </c>
      <c r="BE956">
        <v>0</v>
      </c>
      <c r="BF956">
        <v>0</v>
      </c>
      <c r="BG956">
        <v>0</v>
      </c>
      <c r="BH956">
        <v>1775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>"14:46:46.578"</f>
        <v>14:46:46.578</v>
      </c>
      <c r="CJ956">
        <v>3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232</v>
      </c>
      <c r="CR956">
        <v>1</v>
      </c>
      <c r="CW956">
        <v>15206704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1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"12/16/2021 14:46:47.834"</f>
        <v>12/16/2021 14:46:47.834</v>
      </c>
      <c r="C957" t="str">
        <f t="shared" si="43"/>
        <v>FFDFD3C0</v>
      </c>
      <c r="D957" t="s">
        <v>113</v>
      </c>
      <c r="E957">
        <v>8</v>
      </c>
      <c r="H957">
        <v>176</v>
      </c>
      <c r="I957" t="s">
        <v>114</v>
      </c>
      <c r="J957" t="s">
        <v>115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"14:46:47.609"</f>
        <v>14:46:47.609</v>
      </c>
      <c r="T957" t="str">
        <f>"14:46:47.209"</f>
        <v>14:46:47.209</v>
      </c>
      <c r="U957" t="str">
        <f t="shared" si="42"/>
        <v>A0F928</v>
      </c>
      <c r="V957">
        <v>0</v>
      </c>
      <c r="W957">
        <v>0</v>
      </c>
      <c r="X957">
        <v>2</v>
      </c>
      <c r="Z957">
        <v>0</v>
      </c>
      <c r="AA957">
        <v>9</v>
      </c>
      <c r="AB957">
        <v>3</v>
      </c>
      <c r="AC957">
        <v>0</v>
      </c>
      <c r="AD957">
        <v>10</v>
      </c>
      <c r="AE957">
        <v>0</v>
      </c>
      <c r="AF957">
        <v>3</v>
      </c>
      <c r="AG957">
        <v>2</v>
      </c>
      <c r="AH957">
        <v>1</v>
      </c>
      <c r="AI957" t="s">
        <v>577</v>
      </c>
      <c r="AJ957">
        <v>35.824956999999998</v>
      </c>
      <c r="AK957" t="s">
        <v>578</v>
      </c>
      <c r="AL957">
        <v>-83.942864</v>
      </c>
      <c r="AM957">
        <v>25</v>
      </c>
      <c r="AN957">
        <v>1525</v>
      </c>
      <c r="AO957" t="s">
        <v>118</v>
      </c>
      <c r="AP957">
        <v>62</v>
      </c>
      <c r="AQ957">
        <v>104</v>
      </c>
      <c r="AR957">
        <v>-192</v>
      </c>
      <c r="AZ957">
        <v>300</v>
      </c>
      <c r="BA957">
        <v>1</v>
      </c>
      <c r="BB957" t="str">
        <f t="shared" si="44"/>
        <v xml:space="preserve">N162AM  </v>
      </c>
      <c r="BC957">
        <v>1</v>
      </c>
      <c r="BE957">
        <v>0</v>
      </c>
      <c r="BF957">
        <v>0</v>
      </c>
      <c r="BG957">
        <v>0</v>
      </c>
      <c r="BH957">
        <v>1775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>"14:46:47.610"</f>
        <v>14:46:47.610</v>
      </c>
      <c r="CJ957">
        <v>3</v>
      </c>
      <c r="CK957">
        <v>2</v>
      </c>
      <c r="CL957">
        <v>0</v>
      </c>
      <c r="CM957">
        <v>2</v>
      </c>
      <c r="CN957">
        <v>0</v>
      </c>
      <c r="CO957">
        <v>6</v>
      </c>
      <c r="CP957" t="s">
        <v>119</v>
      </c>
      <c r="CQ957">
        <v>232</v>
      </c>
      <c r="CR957">
        <v>2</v>
      </c>
      <c r="CW957">
        <v>6400815</v>
      </c>
      <c r="CY957">
        <v>1</v>
      </c>
      <c r="CZ957">
        <v>0</v>
      </c>
      <c r="DA957">
        <v>0</v>
      </c>
      <c r="DB957">
        <v>0</v>
      </c>
      <c r="DC957">
        <v>0</v>
      </c>
      <c r="DD957">
        <v>1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"12/16/2021 14:46:47.834"</f>
        <v>12/16/2021 14:46:47.834</v>
      </c>
      <c r="C958" t="str">
        <f t="shared" si="43"/>
        <v>FFDFD3C0</v>
      </c>
      <c r="D958" t="s">
        <v>124</v>
      </c>
      <c r="E958">
        <v>5</v>
      </c>
      <c r="F958">
        <v>1005</v>
      </c>
      <c r="G958" t="s">
        <v>114</v>
      </c>
      <c r="J958" t="s">
        <v>125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"14:46:47.609"</f>
        <v>14:46:47.609</v>
      </c>
      <c r="T958" t="str">
        <f>"14:46:47.209"</f>
        <v>14:46:47.209</v>
      </c>
      <c r="U958" t="str">
        <f t="shared" si="42"/>
        <v>A0F928</v>
      </c>
      <c r="V958">
        <v>0</v>
      </c>
      <c r="W958">
        <v>0</v>
      </c>
      <c r="X958">
        <v>2</v>
      </c>
      <c r="Z958">
        <v>0</v>
      </c>
      <c r="AA958">
        <v>9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2</v>
      </c>
      <c r="AH958">
        <v>1</v>
      </c>
      <c r="AI958" t="s">
        <v>577</v>
      </c>
      <c r="AJ958">
        <v>35.824956999999998</v>
      </c>
      <c r="AK958" t="s">
        <v>578</v>
      </c>
      <c r="AL958">
        <v>-83.942864</v>
      </c>
      <c r="AM958">
        <v>25</v>
      </c>
      <c r="AN958">
        <v>1525</v>
      </c>
      <c r="AO958" t="s">
        <v>118</v>
      </c>
      <c r="AP958">
        <v>62</v>
      </c>
      <c r="AQ958">
        <v>104</v>
      </c>
      <c r="AR958">
        <v>-192</v>
      </c>
      <c r="AZ958">
        <v>300</v>
      </c>
      <c r="BA958">
        <v>1</v>
      </c>
      <c r="BB958" t="str">
        <f t="shared" si="44"/>
        <v xml:space="preserve">N162AM  </v>
      </c>
      <c r="BC958">
        <v>1</v>
      </c>
      <c r="BE958">
        <v>0</v>
      </c>
      <c r="BF958">
        <v>0</v>
      </c>
      <c r="BG958">
        <v>0</v>
      </c>
      <c r="BH958">
        <v>1775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>"14:46:47.610"</f>
        <v>14:46:47.610</v>
      </c>
      <c r="CJ958">
        <v>3</v>
      </c>
      <c r="CK958">
        <v>2</v>
      </c>
      <c r="CL958">
        <v>0</v>
      </c>
      <c r="CM958">
        <v>2</v>
      </c>
      <c r="CN958">
        <v>0</v>
      </c>
      <c r="CO958">
        <v>6</v>
      </c>
      <c r="CP958" t="s">
        <v>119</v>
      </c>
      <c r="CQ958">
        <v>232</v>
      </c>
      <c r="CR958">
        <v>2</v>
      </c>
      <c r="CW958">
        <v>6400815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1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"12/16/2021 14:46:47.834"</f>
        <v>12/16/2021 14:46:47.834</v>
      </c>
      <c r="C959" t="str">
        <f t="shared" si="43"/>
        <v>FFDFD3C0</v>
      </c>
      <c r="D959" t="s">
        <v>133</v>
      </c>
      <c r="E959">
        <v>44</v>
      </c>
      <c r="H959">
        <v>131</v>
      </c>
      <c r="I959" t="s">
        <v>134</v>
      </c>
      <c r="J959" t="s">
        <v>135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"14:46:47.609"</f>
        <v>14:46:47.609</v>
      </c>
      <c r="T959" t="str">
        <f>"14:46:47.209"</f>
        <v>14:46:47.209</v>
      </c>
      <c r="U959" t="str">
        <f t="shared" si="42"/>
        <v>A0F928</v>
      </c>
      <c r="V959">
        <v>0</v>
      </c>
      <c r="W959">
        <v>0</v>
      </c>
      <c r="X959">
        <v>2</v>
      </c>
      <c r="Z959">
        <v>0</v>
      </c>
      <c r="AA959">
        <v>9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2</v>
      </c>
      <c r="AH959">
        <v>1</v>
      </c>
      <c r="AI959" t="s">
        <v>577</v>
      </c>
      <c r="AJ959">
        <v>35.824956999999998</v>
      </c>
      <c r="AK959" t="s">
        <v>578</v>
      </c>
      <c r="AL959">
        <v>-83.942864</v>
      </c>
      <c r="AM959">
        <v>25</v>
      </c>
      <c r="AN959">
        <v>1525</v>
      </c>
      <c r="AO959" t="s">
        <v>118</v>
      </c>
      <c r="AP959">
        <v>62</v>
      </c>
      <c r="AQ959">
        <v>104</v>
      </c>
      <c r="AR959">
        <v>-192</v>
      </c>
      <c r="AZ959">
        <v>300</v>
      </c>
      <c r="BA959">
        <v>1</v>
      </c>
      <c r="BB959" t="str">
        <f t="shared" si="44"/>
        <v xml:space="preserve">N162AM  </v>
      </c>
      <c r="BC959">
        <v>1</v>
      </c>
      <c r="BE959">
        <v>0</v>
      </c>
      <c r="BF959">
        <v>0</v>
      </c>
      <c r="BG959">
        <v>0</v>
      </c>
      <c r="BH959">
        <v>1775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>"14:46:47.610"</f>
        <v>14:46:47.610</v>
      </c>
      <c r="CJ959">
        <v>3</v>
      </c>
      <c r="CK959">
        <v>2</v>
      </c>
      <c r="CL959">
        <v>0</v>
      </c>
      <c r="CM959">
        <v>2</v>
      </c>
      <c r="CN959">
        <v>0</v>
      </c>
      <c r="CO959">
        <v>6</v>
      </c>
      <c r="CP959" t="s">
        <v>119</v>
      </c>
      <c r="CQ959">
        <v>232</v>
      </c>
      <c r="CR959">
        <v>2</v>
      </c>
      <c r="CW959">
        <v>6400815</v>
      </c>
      <c r="CY959">
        <v>1</v>
      </c>
      <c r="CZ959">
        <v>0</v>
      </c>
      <c r="DA959">
        <v>1</v>
      </c>
      <c r="DB959">
        <v>0</v>
      </c>
      <c r="DC959">
        <v>0</v>
      </c>
      <c r="DD959">
        <v>1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"12/16/2021 14:46:47.850"</f>
        <v>12/16/2021 14:46:47.850</v>
      </c>
      <c r="C960" t="str">
        <f t="shared" si="43"/>
        <v>FFDFD3C0</v>
      </c>
      <c r="D960" t="s">
        <v>124</v>
      </c>
      <c r="E960">
        <v>10</v>
      </c>
      <c r="F960">
        <v>1010</v>
      </c>
      <c r="G960" t="s">
        <v>130</v>
      </c>
      <c r="J960" t="s">
        <v>125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"14:46:47.609"</f>
        <v>14:46:47.609</v>
      </c>
      <c r="T960" t="str">
        <f>"14:46:47.209"</f>
        <v>14:46:47.209</v>
      </c>
      <c r="U960" t="str">
        <f t="shared" si="42"/>
        <v>A0F928</v>
      </c>
      <c r="V960">
        <v>0</v>
      </c>
      <c r="W960">
        <v>0</v>
      </c>
      <c r="X960">
        <v>2</v>
      </c>
      <c r="Z960">
        <v>0</v>
      </c>
      <c r="AA960">
        <v>9</v>
      </c>
      <c r="AB960">
        <v>3</v>
      </c>
      <c r="AC960">
        <v>0</v>
      </c>
      <c r="AD960">
        <v>10</v>
      </c>
      <c r="AE960">
        <v>0</v>
      </c>
      <c r="AF960">
        <v>0</v>
      </c>
      <c r="AG960">
        <v>2</v>
      </c>
      <c r="AH960">
        <v>1</v>
      </c>
      <c r="AI960" t="s">
        <v>577</v>
      </c>
      <c r="AJ960">
        <v>35.824956999999998</v>
      </c>
      <c r="AK960" t="s">
        <v>578</v>
      </c>
      <c r="AL960">
        <v>-83.942864</v>
      </c>
      <c r="AM960">
        <v>25</v>
      </c>
      <c r="AN960">
        <v>1525</v>
      </c>
      <c r="AO960" t="s">
        <v>118</v>
      </c>
      <c r="AP960">
        <v>62</v>
      </c>
      <c r="AQ960">
        <v>104</v>
      </c>
      <c r="AR960">
        <v>-192</v>
      </c>
      <c r="AZ960">
        <v>300</v>
      </c>
      <c r="BA960">
        <v>1</v>
      </c>
      <c r="BB960" t="str">
        <f t="shared" si="44"/>
        <v xml:space="preserve">N162AM  </v>
      </c>
      <c r="BC960">
        <v>1</v>
      </c>
      <c r="BE960">
        <v>0</v>
      </c>
      <c r="BF960">
        <v>0</v>
      </c>
      <c r="BG960">
        <v>0</v>
      </c>
      <c r="BH960">
        <v>1775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>"14:46:47.610"</f>
        <v>14:46:47.610</v>
      </c>
      <c r="CJ960">
        <v>2</v>
      </c>
      <c r="CK960">
        <v>2</v>
      </c>
      <c r="CL960">
        <v>0</v>
      </c>
      <c r="CM960">
        <v>2</v>
      </c>
      <c r="CN960">
        <v>0</v>
      </c>
      <c r="CO960">
        <v>6</v>
      </c>
      <c r="CP960" t="s">
        <v>119</v>
      </c>
      <c r="CQ960">
        <v>232</v>
      </c>
      <c r="CR960">
        <v>2</v>
      </c>
      <c r="CW960">
        <v>6400815</v>
      </c>
      <c r="CY960">
        <v>1</v>
      </c>
      <c r="CZ960">
        <v>0</v>
      </c>
      <c r="DA960">
        <v>1</v>
      </c>
      <c r="DB960">
        <v>0</v>
      </c>
      <c r="DC960">
        <v>0</v>
      </c>
      <c r="DD960">
        <v>1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"12/16/2021 14:46:48.866"</f>
        <v>12/16/2021 14:46:48.866</v>
      </c>
      <c r="C961" t="str">
        <f t="shared" si="43"/>
        <v>FFDFD3C0</v>
      </c>
      <c r="D961" t="s">
        <v>113</v>
      </c>
      <c r="E961">
        <v>8</v>
      </c>
      <c r="H961">
        <v>176</v>
      </c>
      <c r="I961" t="s">
        <v>114</v>
      </c>
      <c r="J961" t="s">
        <v>115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"14:46:48.617"</f>
        <v>14:46:48.617</v>
      </c>
      <c r="T961" t="str">
        <f>"14:46:48.217"</f>
        <v>14:46:48.217</v>
      </c>
      <c r="U961" t="str">
        <f t="shared" si="42"/>
        <v>A0F928</v>
      </c>
      <c r="V961">
        <v>0</v>
      </c>
      <c r="W961">
        <v>0</v>
      </c>
      <c r="X961">
        <v>2</v>
      </c>
      <c r="Z961">
        <v>0</v>
      </c>
      <c r="AA961">
        <v>9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2</v>
      </c>
      <c r="AH961">
        <v>1</v>
      </c>
      <c r="AI961" t="s">
        <v>579</v>
      </c>
      <c r="AJ961">
        <v>35.825449999999996</v>
      </c>
      <c r="AK961" t="s">
        <v>580</v>
      </c>
      <c r="AL961">
        <v>-83.942584999999994</v>
      </c>
      <c r="AM961">
        <v>25</v>
      </c>
      <c r="AN961">
        <v>1525</v>
      </c>
      <c r="AO961" t="s">
        <v>118</v>
      </c>
      <c r="AP961">
        <v>55</v>
      </c>
      <c r="AQ961">
        <v>107</v>
      </c>
      <c r="AR961">
        <v>-192</v>
      </c>
      <c r="AZ961">
        <v>300</v>
      </c>
      <c r="BA961">
        <v>1</v>
      </c>
      <c r="BB961" t="str">
        <f t="shared" si="44"/>
        <v xml:space="preserve">N162AM  </v>
      </c>
      <c r="BC961">
        <v>1</v>
      </c>
      <c r="BE961">
        <v>0</v>
      </c>
      <c r="BF961">
        <v>0</v>
      </c>
      <c r="BG961">
        <v>0</v>
      </c>
      <c r="BH961">
        <v>1775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>"14:46:48.621"</f>
        <v>14:46:48.621</v>
      </c>
      <c r="CJ961">
        <v>3</v>
      </c>
      <c r="CK961">
        <v>2</v>
      </c>
      <c r="CL961">
        <v>0</v>
      </c>
      <c r="CM961">
        <v>2</v>
      </c>
      <c r="CN961">
        <v>0</v>
      </c>
      <c r="CO961">
        <v>6</v>
      </c>
      <c r="CP961" t="s">
        <v>119</v>
      </c>
      <c r="CQ961">
        <v>232</v>
      </c>
      <c r="CR961">
        <v>1</v>
      </c>
      <c r="CW961">
        <v>15209881</v>
      </c>
      <c r="CY961">
        <v>1</v>
      </c>
      <c r="CZ961">
        <v>0</v>
      </c>
      <c r="DA961">
        <v>0</v>
      </c>
      <c r="DB961">
        <v>0</v>
      </c>
      <c r="DC961">
        <v>0</v>
      </c>
      <c r="DD961">
        <v>1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"12/16/2021 14:46:48.866"</f>
        <v>12/16/2021 14:46:48.866</v>
      </c>
      <c r="C962" t="str">
        <f t="shared" si="43"/>
        <v>FFDFD3C0</v>
      </c>
      <c r="D962" t="s">
        <v>133</v>
      </c>
      <c r="E962">
        <v>44</v>
      </c>
      <c r="H962">
        <v>131</v>
      </c>
      <c r="I962" t="s">
        <v>134</v>
      </c>
      <c r="J962" t="s">
        <v>135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"14:46:48.617"</f>
        <v>14:46:48.617</v>
      </c>
      <c r="T962" t="str">
        <f>"14:46:48.217"</f>
        <v>14:46:48.217</v>
      </c>
      <c r="U962" t="str">
        <f t="shared" ref="U962:U1025" si="45">"A0F928"</f>
        <v>A0F928</v>
      </c>
      <c r="V962">
        <v>0</v>
      </c>
      <c r="W962">
        <v>0</v>
      </c>
      <c r="X962">
        <v>2</v>
      </c>
      <c r="Z962">
        <v>0</v>
      </c>
      <c r="AA962">
        <v>9</v>
      </c>
      <c r="AB962">
        <v>3</v>
      </c>
      <c r="AC962">
        <v>0</v>
      </c>
      <c r="AD962">
        <v>10</v>
      </c>
      <c r="AE962">
        <v>0</v>
      </c>
      <c r="AF962">
        <v>3</v>
      </c>
      <c r="AG962">
        <v>2</v>
      </c>
      <c r="AH962">
        <v>1</v>
      </c>
      <c r="AI962" t="s">
        <v>579</v>
      </c>
      <c r="AJ962">
        <v>35.825449999999996</v>
      </c>
      <c r="AK962" t="s">
        <v>580</v>
      </c>
      <c r="AL962">
        <v>-83.942584999999994</v>
      </c>
      <c r="AM962">
        <v>25</v>
      </c>
      <c r="AN962">
        <v>1525</v>
      </c>
      <c r="AO962" t="s">
        <v>118</v>
      </c>
      <c r="AP962">
        <v>55</v>
      </c>
      <c r="AQ962">
        <v>107</v>
      </c>
      <c r="AR962">
        <v>-192</v>
      </c>
      <c r="AZ962">
        <v>300</v>
      </c>
      <c r="BA962">
        <v>1</v>
      </c>
      <c r="BB962" t="str">
        <f t="shared" si="44"/>
        <v xml:space="preserve">N162AM  </v>
      </c>
      <c r="BC962">
        <v>1</v>
      </c>
      <c r="BE962">
        <v>0</v>
      </c>
      <c r="BF962">
        <v>0</v>
      </c>
      <c r="BG962">
        <v>0</v>
      </c>
      <c r="BH962">
        <v>1775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>"14:46:48.621"</f>
        <v>14:46:48.621</v>
      </c>
      <c r="CJ962">
        <v>3</v>
      </c>
      <c r="CK962">
        <v>2</v>
      </c>
      <c r="CL962">
        <v>0</v>
      </c>
      <c r="CM962">
        <v>2</v>
      </c>
      <c r="CN962">
        <v>0</v>
      </c>
      <c r="CO962">
        <v>6</v>
      </c>
      <c r="CP962" t="s">
        <v>119</v>
      </c>
      <c r="CQ962">
        <v>232</v>
      </c>
      <c r="CR962">
        <v>1</v>
      </c>
      <c r="CW962">
        <v>15209881</v>
      </c>
      <c r="CY962">
        <v>1</v>
      </c>
      <c r="CZ962">
        <v>0</v>
      </c>
      <c r="DA962">
        <v>1</v>
      </c>
      <c r="DB962">
        <v>0</v>
      </c>
      <c r="DC962">
        <v>0</v>
      </c>
      <c r="DD962">
        <v>1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"12/16/2021 14:46:48.866"</f>
        <v>12/16/2021 14:46:48.866</v>
      </c>
      <c r="C963" t="str">
        <f t="shared" si="43"/>
        <v>FFDFD3C0</v>
      </c>
      <c r="D963" t="s">
        <v>124</v>
      </c>
      <c r="E963">
        <v>10</v>
      </c>
      <c r="F963">
        <v>1010</v>
      </c>
      <c r="G963" t="s">
        <v>130</v>
      </c>
      <c r="J963" t="s">
        <v>125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"14:46:48.617"</f>
        <v>14:46:48.617</v>
      </c>
      <c r="T963" t="str">
        <f>"14:46:48.217"</f>
        <v>14:46:48.217</v>
      </c>
      <c r="U963" t="str">
        <f t="shared" si="45"/>
        <v>A0F928</v>
      </c>
      <c r="V963">
        <v>0</v>
      </c>
      <c r="W963">
        <v>0</v>
      </c>
      <c r="X963">
        <v>2</v>
      </c>
      <c r="Z963">
        <v>0</v>
      </c>
      <c r="AA963">
        <v>9</v>
      </c>
      <c r="AB963">
        <v>3</v>
      </c>
      <c r="AC963">
        <v>0</v>
      </c>
      <c r="AD963">
        <v>10</v>
      </c>
      <c r="AE963">
        <v>0</v>
      </c>
      <c r="AF963">
        <v>0</v>
      </c>
      <c r="AG963">
        <v>2</v>
      </c>
      <c r="AH963">
        <v>1</v>
      </c>
      <c r="AI963" t="s">
        <v>579</v>
      </c>
      <c r="AJ963">
        <v>35.825449999999996</v>
      </c>
      <c r="AK963" t="s">
        <v>580</v>
      </c>
      <c r="AL963">
        <v>-83.942584999999994</v>
      </c>
      <c r="AM963">
        <v>25</v>
      </c>
      <c r="AN963">
        <v>1525</v>
      </c>
      <c r="AO963" t="s">
        <v>118</v>
      </c>
      <c r="AP963">
        <v>55</v>
      </c>
      <c r="AQ963">
        <v>107</v>
      </c>
      <c r="AR963">
        <v>-192</v>
      </c>
      <c r="AZ963">
        <v>300</v>
      </c>
      <c r="BA963">
        <v>1</v>
      </c>
      <c r="BB963" t="str">
        <f t="shared" si="44"/>
        <v xml:space="preserve">N162AM  </v>
      </c>
      <c r="BC963">
        <v>1</v>
      </c>
      <c r="BE963">
        <v>0</v>
      </c>
      <c r="BF963">
        <v>0</v>
      </c>
      <c r="BG963">
        <v>0</v>
      </c>
      <c r="BH963">
        <v>1775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>"14:46:48.621"</f>
        <v>14:46:48.621</v>
      </c>
      <c r="CJ963">
        <v>2</v>
      </c>
      <c r="CK963">
        <v>2</v>
      </c>
      <c r="CL963">
        <v>0</v>
      </c>
      <c r="CM963">
        <v>2</v>
      </c>
      <c r="CN963">
        <v>0</v>
      </c>
      <c r="CO963">
        <v>6</v>
      </c>
      <c r="CP963" t="s">
        <v>119</v>
      </c>
      <c r="CQ963">
        <v>232</v>
      </c>
      <c r="CR963">
        <v>1</v>
      </c>
      <c r="CW963">
        <v>15209881</v>
      </c>
      <c r="CY963">
        <v>1</v>
      </c>
      <c r="CZ963">
        <v>0</v>
      </c>
      <c r="DA963">
        <v>1</v>
      </c>
      <c r="DB963">
        <v>0</v>
      </c>
      <c r="DC963">
        <v>0</v>
      </c>
      <c r="DD963">
        <v>1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"12/16/2021 14:46:48.882"</f>
        <v>12/16/2021 14:46:48.882</v>
      </c>
      <c r="C964" t="str">
        <f t="shared" si="43"/>
        <v>FFDFD3C0</v>
      </c>
      <c r="D964" t="s">
        <v>124</v>
      </c>
      <c r="E964">
        <v>5</v>
      </c>
      <c r="F964">
        <v>1005</v>
      </c>
      <c r="G964" t="s">
        <v>114</v>
      </c>
      <c r="J964" t="s">
        <v>125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"14:46:48.617"</f>
        <v>14:46:48.617</v>
      </c>
      <c r="T964" t="str">
        <f>"14:46:48.217"</f>
        <v>14:46:48.217</v>
      </c>
      <c r="U964" t="str">
        <f t="shared" si="45"/>
        <v>A0F928</v>
      </c>
      <c r="V964">
        <v>0</v>
      </c>
      <c r="W964">
        <v>0</v>
      </c>
      <c r="X964">
        <v>2</v>
      </c>
      <c r="Z964">
        <v>0</v>
      </c>
      <c r="AA964">
        <v>9</v>
      </c>
      <c r="AB964">
        <v>3</v>
      </c>
      <c r="AC964">
        <v>0</v>
      </c>
      <c r="AD964">
        <v>10</v>
      </c>
      <c r="AE964">
        <v>0</v>
      </c>
      <c r="AF964">
        <v>3</v>
      </c>
      <c r="AG964">
        <v>2</v>
      </c>
      <c r="AH964">
        <v>1</v>
      </c>
      <c r="AI964" t="s">
        <v>579</v>
      </c>
      <c r="AJ964">
        <v>35.825449999999996</v>
      </c>
      <c r="AK964" t="s">
        <v>580</v>
      </c>
      <c r="AL964">
        <v>-83.942584999999994</v>
      </c>
      <c r="AM964">
        <v>25</v>
      </c>
      <c r="AN964">
        <v>1525</v>
      </c>
      <c r="AO964" t="s">
        <v>118</v>
      </c>
      <c r="AP964">
        <v>55</v>
      </c>
      <c r="AQ964">
        <v>107</v>
      </c>
      <c r="AR964">
        <v>-192</v>
      </c>
      <c r="AZ964">
        <v>300</v>
      </c>
      <c r="BA964">
        <v>1</v>
      </c>
      <c r="BB964" t="str">
        <f t="shared" si="44"/>
        <v xml:space="preserve">N162AM  </v>
      </c>
      <c r="BC964">
        <v>1</v>
      </c>
      <c r="BE964">
        <v>0</v>
      </c>
      <c r="BF964">
        <v>0</v>
      </c>
      <c r="BG964">
        <v>0</v>
      </c>
      <c r="BH964">
        <v>1775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>"14:46:48.621"</f>
        <v>14:46:48.621</v>
      </c>
      <c r="CJ964">
        <v>3</v>
      </c>
      <c r="CK964">
        <v>2</v>
      </c>
      <c r="CL964">
        <v>0</v>
      </c>
      <c r="CM964">
        <v>2</v>
      </c>
      <c r="CN964">
        <v>0</v>
      </c>
      <c r="CO964">
        <v>6</v>
      </c>
      <c r="CP964" t="s">
        <v>119</v>
      </c>
      <c r="CQ964">
        <v>232</v>
      </c>
      <c r="CR964">
        <v>1</v>
      </c>
      <c r="CW964">
        <v>15209881</v>
      </c>
      <c r="CY964">
        <v>1</v>
      </c>
      <c r="CZ964">
        <v>0</v>
      </c>
      <c r="DA964">
        <v>1</v>
      </c>
      <c r="DB964">
        <v>0</v>
      </c>
      <c r="DC964">
        <v>0</v>
      </c>
      <c r="DD964">
        <v>1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"12/16/2021 14:46:49.818"</f>
        <v>12/16/2021 14:46:49.818</v>
      </c>
      <c r="C965" t="str">
        <f t="shared" si="43"/>
        <v>FFDFD3C0</v>
      </c>
      <c r="D965" t="s">
        <v>124</v>
      </c>
      <c r="E965">
        <v>10</v>
      </c>
      <c r="F965">
        <v>1010</v>
      </c>
      <c r="G965" t="s">
        <v>130</v>
      </c>
      <c r="J965" t="s">
        <v>125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"14:46:49.594"</f>
        <v>14:46:49.594</v>
      </c>
      <c r="T965" t="str">
        <f>"14:46:49.094"</f>
        <v>14:46:49.094</v>
      </c>
      <c r="U965" t="str">
        <f t="shared" si="45"/>
        <v>A0F928</v>
      </c>
      <c r="V965">
        <v>0</v>
      </c>
      <c r="W965">
        <v>0</v>
      </c>
      <c r="X965">
        <v>2</v>
      </c>
      <c r="Z965">
        <v>0</v>
      </c>
      <c r="AA965">
        <v>9</v>
      </c>
      <c r="AB965">
        <v>3</v>
      </c>
      <c r="AC965">
        <v>0</v>
      </c>
      <c r="AD965">
        <v>10</v>
      </c>
      <c r="AE965">
        <v>0</v>
      </c>
      <c r="AF965">
        <v>0</v>
      </c>
      <c r="AG965">
        <v>2</v>
      </c>
      <c r="AH965">
        <v>1</v>
      </c>
      <c r="AI965" t="s">
        <v>581</v>
      </c>
      <c r="AJ965">
        <v>35.825964999999997</v>
      </c>
      <c r="AK965" t="s">
        <v>582</v>
      </c>
      <c r="AL965">
        <v>-83.942306000000002</v>
      </c>
      <c r="AM965">
        <v>25</v>
      </c>
      <c r="AN965">
        <v>1525</v>
      </c>
      <c r="AO965" t="s">
        <v>118</v>
      </c>
      <c r="AP965">
        <v>48</v>
      </c>
      <c r="AQ965">
        <v>110</v>
      </c>
      <c r="AR965">
        <v>-256</v>
      </c>
      <c r="AZ965">
        <v>300</v>
      </c>
      <c r="BA965">
        <v>1</v>
      </c>
      <c r="BB965" t="str">
        <f t="shared" si="44"/>
        <v xml:space="preserve">N162AM  </v>
      </c>
      <c r="BC965">
        <v>1</v>
      </c>
      <c r="BE965">
        <v>0</v>
      </c>
      <c r="BF965">
        <v>0</v>
      </c>
      <c r="BG965">
        <v>0</v>
      </c>
      <c r="BH965">
        <v>1775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>"14:46:49.599"</f>
        <v>14:46:49.599</v>
      </c>
      <c r="CJ965">
        <v>2</v>
      </c>
      <c r="CK965">
        <v>2</v>
      </c>
      <c r="CL965">
        <v>0</v>
      </c>
      <c r="CM965">
        <v>2</v>
      </c>
      <c r="CN965">
        <v>0</v>
      </c>
      <c r="CO965">
        <v>6</v>
      </c>
      <c r="CP965" t="s">
        <v>119</v>
      </c>
      <c r="CQ965">
        <v>232</v>
      </c>
      <c r="CR965">
        <v>1</v>
      </c>
      <c r="CW965">
        <v>15211391</v>
      </c>
      <c r="CY965">
        <v>1</v>
      </c>
      <c r="CZ965">
        <v>0</v>
      </c>
      <c r="DA965">
        <v>0</v>
      </c>
      <c r="DB965">
        <v>0</v>
      </c>
      <c r="DC965">
        <v>0</v>
      </c>
      <c r="DD965">
        <v>1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"12/16/2021 14:46:49.834"</f>
        <v>12/16/2021 14:46:49.834</v>
      </c>
      <c r="C966" t="str">
        <f t="shared" si="43"/>
        <v>FFDFD3C0</v>
      </c>
      <c r="D966" t="s">
        <v>124</v>
      </c>
      <c r="E966">
        <v>5</v>
      </c>
      <c r="F966">
        <v>1005</v>
      </c>
      <c r="G966" t="s">
        <v>114</v>
      </c>
      <c r="J966" t="s">
        <v>125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"14:46:49.594"</f>
        <v>14:46:49.594</v>
      </c>
      <c r="T966" t="str">
        <f>"14:46:49.094"</f>
        <v>14:46:49.094</v>
      </c>
      <c r="U966" t="str">
        <f t="shared" si="45"/>
        <v>A0F928</v>
      </c>
      <c r="V966">
        <v>0</v>
      </c>
      <c r="W966">
        <v>0</v>
      </c>
      <c r="X966">
        <v>2</v>
      </c>
      <c r="Z966">
        <v>0</v>
      </c>
      <c r="AA966">
        <v>9</v>
      </c>
      <c r="AB966">
        <v>3</v>
      </c>
      <c r="AC966">
        <v>0</v>
      </c>
      <c r="AD966">
        <v>10</v>
      </c>
      <c r="AE966">
        <v>0</v>
      </c>
      <c r="AF966">
        <v>3</v>
      </c>
      <c r="AG966">
        <v>2</v>
      </c>
      <c r="AH966">
        <v>1</v>
      </c>
      <c r="AI966" t="s">
        <v>581</v>
      </c>
      <c r="AJ966">
        <v>35.825964999999997</v>
      </c>
      <c r="AK966" t="s">
        <v>582</v>
      </c>
      <c r="AL966">
        <v>-83.942306000000002</v>
      </c>
      <c r="AM966">
        <v>25</v>
      </c>
      <c r="AN966">
        <v>1525</v>
      </c>
      <c r="AO966" t="s">
        <v>118</v>
      </c>
      <c r="AP966">
        <v>48</v>
      </c>
      <c r="AQ966">
        <v>110</v>
      </c>
      <c r="AR966">
        <v>-256</v>
      </c>
      <c r="AZ966">
        <v>300</v>
      </c>
      <c r="BA966">
        <v>1</v>
      </c>
      <c r="BB966" t="str">
        <f t="shared" si="44"/>
        <v xml:space="preserve">N162AM  </v>
      </c>
      <c r="BC966">
        <v>1</v>
      </c>
      <c r="BE966">
        <v>0</v>
      </c>
      <c r="BF966">
        <v>0</v>
      </c>
      <c r="BG966">
        <v>0</v>
      </c>
      <c r="BH966">
        <v>1775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>"14:46:49.599"</f>
        <v>14:46:49.599</v>
      </c>
      <c r="CJ966">
        <v>3</v>
      </c>
      <c r="CK966">
        <v>2</v>
      </c>
      <c r="CL966">
        <v>0</v>
      </c>
      <c r="CM966">
        <v>2</v>
      </c>
      <c r="CN966">
        <v>0</v>
      </c>
      <c r="CO966">
        <v>6</v>
      </c>
      <c r="CP966" t="s">
        <v>119</v>
      </c>
      <c r="CQ966">
        <v>232</v>
      </c>
      <c r="CR966">
        <v>1</v>
      </c>
      <c r="CW966">
        <v>15211391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1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"12/16/2021 14:46:49.834"</f>
        <v>12/16/2021 14:46:49.834</v>
      </c>
      <c r="C967" t="str">
        <f t="shared" si="43"/>
        <v>FFDFD3C0</v>
      </c>
      <c r="D967" t="s">
        <v>113</v>
      </c>
      <c r="E967">
        <v>8</v>
      </c>
      <c r="H967">
        <v>176</v>
      </c>
      <c r="I967" t="s">
        <v>114</v>
      </c>
      <c r="J967" t="s">
        <v>115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"14:46:49.594"</f>
        <v>14:46:49.594</v>
      </c>
      <c r="T967" t="str">
        <f>"14:46:49.094"</f>
        <v>14:46:49.094</v>
      </c>
      <c r="U967" t="str">
        <f t="shared" si="45"/>
        <v>A0F928</v>
      </c>
      <c r="V967">
        <v>0</v>
      </c>
      <c r="W967">
        <v>0</v>
      </c>
      <c r="X967">
        <v>2</v>
      </c>
      <c r="Z967">
        <v>0</v>
      </c>
      <c r="AA967">
        <v>9</v>
      </c>
      <c r="AB967">
        <v>3</v>
      </c>
      <c r="AC967">
        <v>0</v>
      </c>
      <c r="AD967">
        <v>10</v>
      </c>
      <c r="AE967">
        <v>0</v>
      </c>
      <c r="AF967">
        <v>3</v>
      </c>
      <c r="AG967">
        <v>2</v>
      </c>
      <c r="AH967">
        <v>1</v>
      </c>
      <c r="AI967" t="s">
        <v>581</v>
      </c>
      <c r="AJ967">
        <v>35.825964999999997</v>
      </c>
      <c r="AK967" t="s">
        <v>582</v>
      </c>
      <c r="AL967">
        <v>-83.942306000000002</v>
      </c>
      <c r="AM967">
        <v>25</v>
      </c>
      <c r="AN967">
        <v>1525</v>
      </c>
      <c r="AO967" t="s">
        <v>118</v>
      </c>
      <c r="AP967">
        <v>48</v>
      </c>
      <c r="AQ967">
        <v>110</v>
      </c>
      <c r="AR967">
        <v>-256</v>
      </c>
      <c r="AZ967">
        <v>300</v>
      </c>
      <c r="BA967">
        <v>1</v>
      </c>
      <c r="BB967" t="str">
        <f t="shared" si="44"/>
        <v xml:space="preserve">N162AM  </v>
      </c>
      <c r="BC967">
        <v>1</v>
      </c>
      <c r="BE967">
        <v>0</v>
      </c>
      <c r="BF967">
        <v>0</v>
      </c>
      <c r="BG967">
        <v>0</v>
      </c>
      <c r="BH967">
        <v>1775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>"14:46:49.599"</f>
        <v>14:46:49.599</v>
      </c>
      <c r="CJ967">
        <v>3</v>
      </c>
      <c r="CK967">
        <v>2</v>
      </c>
      <c r="CL967">
        <v>0</v>
      </c>
      <c r="CM967">
        <v>2</v>
      </c>
      <c r="CN967">
        <v>0</v>
      </c>
      <c r="CO967">
        <v>6</v>
      </c>
      <c r="CP967" t="s">
        <v>119</v>
      </c>
      <c r="CQ967">
        <v>232</v>
      </c>
      <c r="CR967">
        <v>1</v>
      </c>
      <c r="CW967">
        <v>15211391</v>
      </c>
      <c r="CY967">
        <v>1</v>
      </c>
      <c r="CZ967">
        <v>0</v>
      </c>
      <c r="DA967">
        <v>1</v>
      </c>
      <c r="DB967">
        <v>0</v>
      </c>
      <c r="DC967">
        <v>0</v>
      </c>
      <c r="DD967">
        <v>1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"12/16/2021 14:46:49.896"</f>
        <v>12/16/2021 14:46:49.896</v>
      </c>
      <c r="C968" t="str">
        <f t="shared" si="43"/>
        <v>FFDFD3C0</v>
      </c>
      <c r="D968" t="s">
        <v>133</v>
      </c>
      <c r="E968">
        <v>44</v>
      </c>
      <c r="H968">
        <v>131</v>
      </c>
      <c r="I968" t="s">
        <v>134</v>
      </c>
      <c r="J968" t="s">
        <v>135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"14:46:49.594"</f>
        <v>14:46:49.594</v>
      </c>
      <c r="T968" t="str">
        <f>"14:46:49.094"</f>
        <v>14:46:49.094</v>
      </c>
      <c r="U968" t="str">
        <f t="shared" si="45"/>
        <v>A0F928</v>
      </c>
      <c r="V968">
        <v>0</v>
      </c>
      <c r="W968">
        <v>0</v>
      </c>
      <c r="X968">
        <v>2</v>
      </c>
      <c r="Z968">
        <v>0</v>
      </c>
      <c r="AA968">
        <v>9</v>
      </c>
      <c r="AB968">
        <v>3</v>
      </c>
      <c r="AC968">
        <v>0</v>
      </c>
      <c r="AD968">
        <v>10</v>
      </c>
      <c r="AE968">
        <v>0</v>
      </c>
      <c r="AF968">
        <v>3</v>
      </c>
      <c r="AG968">
        <v>2</v>
      </c>
      <c r="AH968">
        <v>1</v>
      </c>
      <c r="AI968" t="s">
        <v>581</v>
      </c>
      <c r="AJ968">
        <v>35.825964999999997</v>
      </c>
      <c r="AK968" t="s">
        <v>582</v>
      </c>
      <c r="AL968">
        <v>-83.942306000000002</v>
      </c>
      <c r="AM968">
        <v>25</v>
      </c>
      <c r="AN968">
        <v>1525</v>
      </c>
      <c r="AO968" t="s">
        <v>118</v>
      </c>
      <c r="AP968">
        <v>48</v>
      </c>
      <c r="AQ968">
        <v>110</v>
      </c>
      <c r="AR968">
        <v>-256</v>
      </c>
      <c r="AZ968">
        <v>300</v>
      </c>
      <c r="BA968">
        <v>1</v>
      </c>
      <c r="BB968" t="str">
        <f t="shared" si="44"/>
        <v xml:space="preserve">N162AM  </v>
      </c>
      <c r="BC968">
        <v>1</v>
      </c>
      <c r="BE968">
        <v>0</v>
      </c>
      <c r="BF968">
        <v>0</v>
      </c>
      <c r="BG968">
        <v>0</v>
      </c>
      <c r="BH968">
        <v>1775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>"14:46:49.599"</f>
        <v>14:46:49.599</v>
      </c>
      <c r="CJ968">
        <v>3</v>
      </c>
      <c r="CK968">
        <v>2</v>
      </c>
      <c r="CL968">
        <v>0</v>
      </c>
      <c r="CM968">
        <v>2</v>
      </c>
      <c r="CN968">
        <v>0</v>
      </c>
      <c r="CO968">
        <v>6</v>
      </c>
      <c r="CP968" t="s">
        <v>119</v>
      </c>
      <c r="CQ968">
        <v>232</v>
      </c>
      <c r="CR968">
        <v>1</v>
      </c>
      <c r="CW968">
        <v>15211391</v>
      </c>
      <c r="CY968">
        <v>1</v>
      </c>
      <c r="CZ968">
        <v>0</v>
      </c>
      <c r="DA968">
        <v>1</v>
      </c>
      <c r="DB968">
        <v>0</v>
      </c>
      <c r="DC968">
        <v>0</v>
      </c>
      <c r="DD968">
        <v>1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"12/16/2021 14:46:51.193"</f>
        <v>12/16/2021 14:46:51.193</v>
      </c>
      <c r="C969" t="str">
        <f t="shared" si="43"/>
        <v>FFDFD3C0</v>
      </c>
      <c r="D969" t="s">
        <v>124</v>
      </c>
      <c r="E969">
        <v>5</v>
      </c>
      <c r="F969">
        <v>1005</v>
      </c>
      <c r="G969" t="s">
        <v>114</v>
      </c>
      <c r="J969" t="s">
        <v>125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"14:46:50.992"</f>
        <v>14:46:50.992</v>
      </c>
      <c r="T969" t="str">
        <f>"14:46:50.492"</f>
        <v>14:46:50.492</v>
      </c>
      <c r="U969" t="str">
        <f t="shared" si="45"/>
        <v>A0F928</v>
      </c>
      <c r="V969">
        <v>0</v>
      </c>
      <c r="W969">
        <v>0</v>
      </c>
      <c r="X969">
        <v>2</v>
      </c>
      <c r="Z969">
        <v>0</v>
      </c>
      <c r="AA969">
        <v>9</v>
      </c>
      <c r="AB969">
        <v>3</v>
      </c>
      <c r="AC969">
        <v>0</v>
      </c>
      <c r="AD969">
        <v>10</v>
      </c>
      <c r="AE969">
        <v>0</v>
      </c>
      <c r="AF969">
        <v>3</v>
      </c>
      <c r="AG969">
        <v>2</v>
      </c>
      <c r="AH969">
        <v>1</v>
      </c>
      <c r="AI969" t="s">
        <v>583</v>
      </c>
      <c r="AJ969">
        <v>35.826695000000001</v>
      </c>
      <c r="AK969" t="s">
        <v>584</v>
      </c>
      <c r="AL969">
        <v>-83.942006000000006</v>
      </c>
      <c r="AM969">
        <v>25</v>
      </c>
      <c r="AN969">
        <v>1500</v>
      </c>
      <c r="AO969" t="s">
        <v>118</v>
      </c>
      <c r="AP969">
        <v>38</v>
      </c>
      <c r="AQ969">
        <v>113</v>
      </c>
      <c r="AR969">
        <v>-384</v>
      </c>
      <c r="AZ969">
        <v>300</v>
      </c>
      <c r="BA969">
        <v>1</v>
      </c>
      <c r="BB969" t="str">
        <f t="shared" si="44"/>
        <v xml:space="preserve">N162AM  </v>
      </c>
      <c r="BC969">
        <v>1</v>
      </c>
      <c r="BE969">
        <v>0</v>
      </c>
      <c r="BF969">
        <v>0</v>
      </c>
      <c r="BG969">
        <v>0</v>
      </c>
      <c r="BH969">
        <v>1775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>"14:46:50.996"</f>
        <v>14:46:50.996</v>
      </c>
      <c r="CJ969">
        <v>3</v>
      </c>
      <c r="CK969">
        <v>2</v>
      </c>
      <c r="CL969">
        <v>0</v>
      </c>
      <c r="CM969">
        <v>2</v>
      </c>
      <c r="CN969">
        <v>0</v>
      </c>
      <c r="CO969">
        <v>5</v>
      </c>
      <c r="CP969" t="s">
        <v>119</v>
      </c>
      <c r="CQ969">
        <v>232</v>
      </c>
      <c r="CR969">
        <v>1</v>
      </c>
      <c r="CW969">
        <v>15213609</v>
      </c>
      <c r="CY969">
        <v>1</v>
      </c>
      <c r="CZ969">
        <v>0</v>
      </c>
      <c r="DA969">
        <v>0</v>
      </c>
      <c r="DB969">
        <v>0</v>
      </c>
      <c r="DC969">
        <v>0</v>
      </c>
      <c r="DD969">
        <v>1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"12/16/2021 14:46:51.209"</f>
        <v>12/16/2021 14:46:51.209</v>
      </c>
      <c r="C970" t="str">
        <f t="shared" si="43"/>
        <v>FFDFD3C0</v>
      </c>
      <c r="D970" t="s">
        <v>113</v>
      </c>
      <c r="E970">
        <v>8</v>
      </c>
      <c r="H970">
        <v>176</v>
      </c>
      <c r="I970" t="s">
        <v>114</v>
      </c>
      <c r="J970" t="s">
        <v>115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"14:46:50.992"</f>
        <v>14:46:50.992</v>
      </c>
      <c r="T970" t="str">
        <f>"14:46:50.492"</f>
        <v>14:46:50.492</v>
      </c>
      <c r="U970" t="str">
        <f t="shared" si="45"/>
        <v>A0F928</v>
      </c>
      <c r="V970">
        <v>0</v>
      </c>
      <c r="W970">
        <v>0</v>
      </c>
      <c r="X970">
        <v>2</v>
      </c>
      <c r="Z970">
        <v>0</v>
      </c>
      <c r="AA970">
        <v>9</v>
      </c>
      <c r="AB970">
        <v>3</v>
      </c>
      <c r="AC970">
        <v>0</v>
      </c>
      <c r="AD970">
        <v>10</v>
      </c>
      <c r="AE970">
        <v>0</v>
      </c>
      <c r="AF970">
        <v>3</v>
      </c>
      <c r="AG970">
        <v>2</v>
      </c>
      <c r="AH970">
        <v>1</v>
      </c>
      <c r="AI970" t="s">
        <v>583</v>
      </c>
      <c r="AJ970">
        <v>35.826695000000001</v>
      </c>
      <c r="AK970" t="s">
        <v>584</v>
      </c>
      <c r="AL970">
        <v>-83.942006000000006</v>
      </c>
      <c r="AM970">
        <v>25</v>
      </c>
      <c r="AN970">
        <v>1500</v>
      </c>
      <c r="AO970" t="s">
        <v>118</v>
      </c>
      <c r="AP970">
        <v>38</v>
      </c>
      <c r="AQ970">
        <v>113</v>
      </c>
      <c r="AR970">
        <v>-384</v>
      </c>
      <c r="AZ970">
        <v>300</v>
      </c>
      <c r="BA970">
        <v>1</v>
      </c>
      <c r="BB970" t="str">
        <f t="shared" si="44"/>
        <v xml:space="preserve">N162AM  </v>
      </c>
      <c r="BC970">
        <v>1</v>
      </c>
      <c r="BE970">
        <v>0</v>
      </c>
      <c r="BF970">
        <v>0</v>
      </c>
      <c r="BG970">
        <v>0</v>
      </c>
      <c r="BH970">
        <v>1775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>"14:46:50.996"</f>
        <v>14:46:50.996</v>
      </c>
      <c r="CJ970">
        <v>3</v>
      </c>
      <c r="CK970">
        <v>2</v>
      </c>
      <c r="CL970">
        <v>0</v>
      </c>
      <c r="CM970">
        <v>2</v>
      </c>
      <c r="CN970">
        <v>0</v>
      </c>
      <c r="CO970">
        <v>5</v>
      </c>
      <c r="CP970" t="s">
        <v>119</v>
      </c>
      <c r="CQ970">
        <v>232</v>
      </c>
      <c r="CR970">
        <v>1</v>
      </c>
      <c r="CW970">
        <v>15213609</v>
      </c>
      <c r="CY970">
        <v>1</v>
      </c>
      <c r="CZ970">
        <v>0</v>
      </c>
      <c r="DA970">
        <v>1</v>
      </c>
      <c r="DB970">
        <v>0</v>
      </c>
      <c r="DC970">
        <v>0</v>
      </c>
      <c r="DD970">
        <v>1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"12/16/2021 14:46:51.256"</f>
        <v>12/16/2021 14:46:51.256</v>
      </c>
      <c r="C971" t="str">
        <f t="shared" si="43"/>
        <v>FFDFD3C0</v>
      </c>
      <c r="D971" t="s">
        <v>124</v>
      </c>
      <c r="E971">
        <v>10</v>
      </c>
      <c r="F971">
        <v>1010</v>
      </c>
      <c r="G971" t="s">
        <v>130</v>
      </c>
      <c r="J971" t="s">
        <v>125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"14:46:50.992"</f>
        <v>14:46:50.992</v>
      </c>
      <c r="T971" t="str">
        <f>"14:46:50.492"</f>
        <v>14:46:50.492</v>
      </c>
      <c r="U971" t="str">
        <f t="shared" si="45"/>
        <v>A0F928</v>
      </c>
      <c r="V971">
        <v>0</v>
      </c>
      <c r="W971">
        <v>0</v>
      </c>
      <c r="X971">
        <v>2</v>
      </c>
      <c r="Z971">
        <v>0</v>
      </c>
      <c r="AA971">
        <v>9</v>
      </c>
      <c r="AB971">
        <v>3</v>
      </c>
      <c r="AC971">
        <v>0</v>
      </c>
      <c r="AD971">
        <v>10</v>
      </c>
      <c r="AE971">
        <v>0</v>
      </c>
      <c r="AF971">
        <v>0</v>
      </c>
      <c r="AG971">
        <v>2</v>
      </c>
      <c r="AH971">
        <v>1</v>
      </c>
      <c r="AI971" t="s">
        <v>583</v>
      </c>
      <c r="AJ971">
        <v>35.826695000000001</v>
      </c>
      <c r="AK971" t="s">
        <v>584</v>
      </c>
      <c r="AL971">
        <v>-83.942006000000006</v>
      </c>
      <c r="AM971">
        <v>25</v>
      </c>
      <c r="AN971">
        <v>1500</v>
      </c>
      <c r="AO971" t="s">
        <v>118</v>
      </c>
      <c r="AP971">
        <v>38</v>
      </c>
      <c r="AQ971">
        <v>113</v>
      </c>
      <c r="AR971">
        <v>-384</v>
      </c>
      <c r="AZ971">
        <v>300</v>
      </c>
      <c r="BA971">
        <v>1</v>
      </c>
      <c r="BB971" t="str">
        <f t="shared" si="44"/>
        <v xml:space="preserve">N162AM  </v>
      </c>
      <c r="BC971">
        <v>1</v>
      </c>
      <c r="BE971">
        <v>0</v>
      </c>
      <c r="BF971">
        <v>0</v>
      </c>
      <c r="BG971">
        <v>0</v>
      </c>
      <c r="BH971">
        <v>1775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>"14:46:50.996"</f>
        <v>14:46:50.996</v>
      </c>
      <c r="CJ971">
        <v>2</v>
      </c>
      <c r="CK971">
        <v>2</v>
      </c>
      <c r="CL971">
        <v>0</v>
      </c>
      <c r="CM971">
        <v>2</v>
      </c>
      <c r="CN971">
        <v>0</v>
      </c>
      <c r="CO971">
        <v>5</v>
      </c>
      <c r="CP971" t="s">
        <v>119</v>
      </c>
      <c r="CQ971">
        <v>232</v>
      </c>
      <c r="CR971">
        <v>1</v>
      </c>
      <c r="CW971">
        <v>15213609</v>
      </c>
      <c r="CY971">
        <v>1</v>
      </c>
      <c r="CZ971">
        <v>0</v>
      </c>
      <c r="DA971">
        <v>1</v>
      </c>
      <c r="DB971">
        <v>0</v>
      </c>
      <c r="DC971">
        <v>0</v>
      </c>
      <c r="DD971">
        <v>1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"12/16/2021 14:46:51.256"</f>
        <v>12/16/2021 14:46:51.256</v>
      </c>
      <c r="C972" t="str">
        <f t="shared" ref="C972:C1035" si="46">"FFDFD3C0"</f>
        <v>FFDFD3C0</v>
      </c>
      <c r="D972" t="s">
        <v>133</v>
      </c>
      <c r="E972">
        <v>44</v>
      </c>
      <c r="H972">
        <v>131</v>
      </c>
      <c r="I972" t="s">
        <v>134</v>
      </c>
      <c r="J972" t="s">
        <v>135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"14:46:50.992"</f>
        <v>14:46:50.992</v>
      </c>
      <c r="T972" t="str">
        <f>"14:46:50.492"</f>
        <v>14:46:50.492</v>
      </c>
      <c r="U972" t="str">
        <f t="shared" si="45"/>
        <v>A0F928</v>
      </c>
      <c r="V972">
        <v>0</v>
      </c>
      <c r="W972">
        <v>0</v>
      </c>
      <c r="X972">
        <v>2</v>
      </c>
      <c r="Z972">
        <v>0</v>
      </c>
      <c r="AA972">
        <v>9</v>
      </c>
      <c r="AB972">
        <v>3</v>
      </c>
      <c r="AC972">
        <v>0</v>
      </c>
      <c r="AD972">
        <v>10</v>
      </c>
      <c r="AE972">
        <v>0</v>
      </c>
      <c r="AF972">
        <v>3</v>
      </c>
      <c r="AG972">
        <v>2</v>
      </c>
      <c r="AH972">
        <v>1</v>
      </c>
      <c r="AI972" t="s">
        <v>583</v>
      </c>
      <c r="AJ972">
        <v>35.826695000000001</v>
      </c>
      <c r="AK972" t="s">
        <v>584</v>
      </c>
      <c r="AL972">
        <v>-83.942006000000006</v>
      </c>
      <c r="AM972">
        <v>25</v>
      </c>
      <c r="AN972">
        <v>1500</v>
      </c>
      <c r="AO972" t="s">
        <v>118</v>
      </c>
      <c r="AP972">
        <v>38</v>
      </c>
      <c r="AQ972">
        <v>113</v>
      </c>
      <c r="AR972">
        <v>-384</v>
      </c>
      <c r="AZ972">
        <v>300</v>
      </c>
      <c r="BA972">
        <v>1</v>
      </c>
      <c r="BB972" t="str">
        <f t="shared" ref="BB972:BB1035" si="47">"N162AM  "</f>
        <v xml:space="preserve">N162AM  </v>
      </c>
      <c r="BC972">
        <v>1</v>
      </c>
      <c r="BE972">
        <v>0</v>
      </c>
      <c r="BF972">
        <v>0</v>
      </c>
      <c r="BG972">
        <v>0</v>
      </c>
      <c r="BH972">
        <v>1775</v>
      </c>
      <c r="BI972">
        <v>1</v>
      </c>
      <c r="BJ972">
        <v>1</v>
      </c>
      <c r="BK972">
        <v>1</v>
      </c>
      <c r="BL972">
        <v>0</v>
      </c>
      <c r="BO972">
        <v>0</v>
      </c>
      <c r="BP972">
        <v>0</v>
      </c>
      <c r="BW972" t="str">
        <f>"14:46:50.996"</f>
        <v>14:46:50.996</v>
      </c>
      <c r="CJ972">
        <v>3</v>
      </c>
      <c r="CK972">
        <v>2</v>
      </c>
      <c r="CL972">
        <v>0</v>
      </c>
      <c r="CM972">
        <v>2</v>
      </c>
      <c r="CN972">
        <v>0</v>
      </c>
      <c r="CO972">
        <v>5</v>
      </c>
      <c r="CP972" t="s">
        <v>119</v>
      </c>
      <c r="CQ972">
        <v>232</v>
      </c>
      <c r="CR972">
        <v>1</v>
      </c>
      <c r="CW972">
        <v>15213609</v>
      </c>
      <c r="CY972">
        <v>1</v>
      </c>
      <c r="CZ972">
        <v>0</v>
      </c>
      <c r="DA972">
        <v>1</v>
      </c>
      <c r="DB972">
        <v>0</v>
      </c>
      <c r="DC972">
        <v>0</v>
      </c>
      <c r="DD972">
        <v>1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"12/16/2021 14:46:52.178"</f>
        <v>12/16/2021 14:46:52.178</v>
      </c>
      <c r="C973" t="str">
        <f t="shared" si="46"/>
        <v>FFDFD3C0</v>
      </c>
      <c r="D973" t="s">
        <v>124</v>
      </c>
      <c r="E973">
        <v>5</v>
      </c>
      <c r="F973">
        <v>1005</v>
      </c>
      <c r="G973" t="s">
        <v>114</v>
      </c>
      <c r="J973" t="s">
        <v>125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"14:46:51.945"</f>
        <v>14:46:51.945</v>
      </c>
      <c r="T973" t="str">
        <f>"14:46:51.545"</f>
        <v>14:46:51.545</v>
      </c>
      <c r="U973" t="str">
        <f t="shared" si="45"/>
        <v>A0F928</v>
      </c>
      <c r="V973">
        <v>0</v>
      </c>
      <c r="W973">
        <v>0</v>
      </c>
      <c r="X973">
        <v>2</v>
      </c>
      <c r="Z973">
        <v>0</v>
      </c>
      <c r="AA973">
        <v>9</v>
      </c>
      <c r="AB973">
        <v>3</v>
      </c>
      <c r="AC973">
        <v>0</v>
      </c>
      <c r="AD973">
        <v>10</v>
      </c>
      <c r="AE973">
        <v>0</v>
      </c>
      <c r="AF973">
        <v>3</v>
      </c>
      <c r="AG973">
        <v>2</v>
      </c>
      <c r="AH973">
        <v>1</v>
      </c>
      <c r="AI973" t="s">
        <v>585</v>
      </c>
      <c r="AJ973">
        <v>35.827188</v>
      </c>
      <c r="AK973" t="s">
        <v>404</v>
      </c>
      <c r="AL973">
        <v>-83.941834</v>
      </c>
      <c r="AM973">
        <v>25</v>
      </c>
      <c r="AN973">
        <v>1500</v>
      </c>
      <c r="AO973" t="s">
        <v>118</v>
      </c>
      <c r="AP973">
        <v>30</v>
      </c>
      <c r="AQ973">
        <v>115</v>
      </c>
      <c r="AR973">
        <v>-512</v>
      </c>
      <c r="AZ973">
        <v>300</v>
      </c>
      <c r="BA973">
        <v>1</v>
      </c>
      <c r="BB973" t="str">
        <f t="shared" si="47"/>
        <v xml:space="preserve">N162AM  </v>
      </c>
      <c r="BC973">
        <v>1</v>
      </c>
      <c r="BE973">
        <v>0</v>
      </c>
      <c r="BF973">
        <v>0</v>
      </c>
      <c r="BG973">
        <v>0</v>
      </c>
      <c r="BH973">
        <v>1750</v>
      </c>
      <c r="BI973">
        <v>1</v>
      </c>
      <c r="BJ973">
        <v>1</v>
      </c>
      <c r="BK973">
        <v>1</v>
      </c>
      <c r="BL973">
        <v>0</v>
      </c>
      <c r="BO973">
        <v>0</v>
      </c>
      <c r="BP973">
        <v>0</v>
      </c>
      <c r="BW973" t="str">
        <f>"14:46:51.952"</f>
        <v>14:46:51.952</v>
      </c>
      <c r="CJ973">
        <v>3</v>
      </c>
      <c r="CK973">
        <v>2</v>
      </c>
      <c r="CL973">
        <v>0</v>
      </c>
      <c r="CM973">
        <v>2</v>
      </c>
      <c r="CN973">
        <v>0</v>
      </c>
      <c r="CO973">
        <v>6</v>
      </c>
      <c r="CP973" t="s">
        <v>119</v>
      </c>
      <c r="CQ973">
        <v>232</v>
      </c>
      <c r="CR973">
        <v>1</v>
      </c>
      <c r="CW973">
        <v>15215159</v>
      </c>
      <c r="CY973">
        <v>1</v>
      </c>
      <c r="CZ973">
        <v>0</v>
      </c>
      <c r="DA973">
        <v>0</v>
      </c>
      <c r="DB973">
        <v>0</v>
      </c>
      <c r="DC973">
        <v>0</v>
      </c>
      <c r="DD973">
        <v>1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"12/16/2021 14:46:52.178"</f>
        <v>12/16/2021 14:46:52.178</v>
      </c>
      <c r="C974" t="str">
        <f t="shared" si="46"/>
        <v>FFDFD3C0</v>
      </c>
      <c r="D974" t="s">
        <v>113</v>
      </c>
      <c r="E974">
        <v>8</v>
      </c>
      <c r="H974">
        <v>176</v>
      </c>
      <c r="I974" t="s">
        <v>114</v>
      </c>
      <c r="J974" t="s">
        <v>115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"14:46:51.945"</f>
        <v>14:46:51.945</v>
      </c>
      <c r="T974" t="str">
        <f>"14:46:51.545"</f>
        <v>14:46:51.545</v>
      </c>
      <c r="U974" t="str">
        <f t="shared" si="45"/>
        <v>A0F928</v>
      </c>
      <c r="V974">
        <v>0</v>
      </c>
      <c r="W974">
        <v>0</v>
      </c>
      <c r="X974">
        <v>2</v>
      </c>
      <c r="Z974">
        <v>0</v>
      </c>
      <c r="AA974">
        <v>9</v>
      </c>
      <c r="AB974">
        <v>3</v>
      </c>
      <c r="AC974">
        <v>0</v>
      </c>
      <c r="AD974">
        <v>10</v>
      </c>
      <c r="AE974">
        <v>0</v>
      </c>
      <c r="AF974">
        <v>3</v>
      </c>
      <c r="AG974">
        <v>2</v>
      </c>
      <c r="AH974">
        <v>1</v>
      </c>
      <c r="AI974" t="s">
        <v>585</v>
      </c>
      <c r="AJ974">
        <v>35.827188</v>
      </c>
      <c r="AK974" t="s">
        <v>404</v>
      </c>
      <c r="AL974">
        <v>-83.941834</v>
      </c>
      <c r="AM974">
        <v>25</v>
      </c>
      <c r="AN974">
        <v>1500</v>
      </c>
      <c r="AO974" t="s">
        <v>118</v>
      </c>
      <c r="AP974">
        <v>30</v>
      </c>
      <c r="AQ974">
        <v>115</v>
      </c>
      <c r="AR974">
        <v>-512</v>
      </c>
      <c r="AZ974">
        <v>300</v>
      </c>
      <c r="BA974">
        <v>1</v>
      </c>
      <c r="BB974" t="str">
        <f t="shared" si="47"/>
        <v xml:space="preserve">N162AM  </v>
      </c>
      <c r="BC974">
        <v>1</v>
      </c>
      <c r="BE974">
        <v>0</v>
      </c>
      <c r="BF974">
        <v>0</v>
      </c>
      <c r="BG974">
        <v>0</v>
      </c>
      <c r="BH974">
        <v>1750</v>
      </c>
      <c r="BI974">
        <v>1</v>
      </c>
      <c r="BJ974">
        <v>1</v>
      </c>
      <c r="BK974">
        <v>1</v>
      </c>
      <c r="BL974">
        <v>0</v>
      </c>
      <c r="BO974">
        <v>0</v>
      </c>
      <c r="BP974">
        <v>0</v>
      </c>
      <c r="BW974" t="str">
        <f>"14:46:51.952"</f>
        <v>14:46:51.952</v>
      </c>
      <c r="CJ974">
        <v>3</v>
      </c>
      <c r="CK974">
        <v>2</v>
      </c>
      <c r="CL974">
        <v>0</v>
      </c>
      <c r="CM974">
        <v>2</v>
      </c>
      <c r="CN974">
        <v>0</v>
      </c>
      <c r="CO974">
        <v>6</v>
      </c>
      <c r="CP974" t="s">
        <v>119</v>
      </c>
      <c r="CQ974">
        <v>232</v>
      </c>
      <c r="CR974">
        <v>1</v>
      </c>
      <c r="CW974">
        <v>15215159</v>
      </c>
      <c r="CY974">
        <v>1</v>
      </c>
      <c r="CZ974">
        <v>0</v>
      </c>
      <c r="DA974">
        <v>1</v>
      </c>
      <c r="DB974">
        <v>0</v>
      </c>
      <c r="DC974">
        <v>0</v>
      </c>
      <c r="DD974">
        <v>1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"12/16/2021 14:46:52.178"</f>
        <v>12/16/2021 14:46:52.178</v>
      </c>
      <c r="C975" t="str">
        <f t="shared" si="46"/>
        <v>FFDFD3C0</v>
      </c>
      <c r="D975" t="s">
        <v>124</v>
      </c>
      <c r="E975">
        <v>10</v>
      </c>
      <c r="F975">
        <v>1010</v>
      </c>
      <c r="G975" t="s">
        <v>130</v>
      </c>
      <c r="J975" t="s">
        <v>125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"14:46:51.945"</f>
        <v>14:46:51.945</v>
      </c>
      <c r="T975" t="str">
        <f>"14:46:51.545"</f>
        <v>14:46:51.545</v>
      </c>
      <c r="U975" t="str">
        <f t="shared" si="45"/>
        <v>A0F928</v>
      </c>
      <c r="V975">
        <v>0</v>
      </c>
      <c r="W975">
        <v>0</v>
      </c>
      <c r="X975">
        <v>2</v>
      </c>
      <c r="Z975">
        <v>0</v>
      </c>
      <c r="AA975">
        <v>9</v>
      </c>
      <c r="AB975">
        <v>3</v>
      </c>
      <c r="AC975">
        <v>0</v>
      </c>
      <c r="AD975">
        <v>10</v>
      </c>
      <c r="AE975">
        <v>0</v>
      </c>
      <c r="AF975">
        <v>0</v>
      </c>
      <c r="AG975">
        <v>2</v>
      </c>
      <c r="AH975">
        <v>1</v>
      </c>
      <c r="AI975" t="s">
        <v>585</v>
      </c>
      <c r="AJ975">
        <v>35.827188</v>
      </c>
      <c r="AK975" t="s">
        <v>404</v>
      </c>
      <c r="AL975">
        <v>-83.941834</v>
      </c>
      <c r="AM975">
        <v>25</v>
      </c>
      <c r="AN975">
        <v>1500</v>
      </c>
      <c r="AO975" t="s">
        <v>118</v>
      </c>
      <c r="AP975">
        <v>30</v>
      </c>
      <c r="AQ975">
        <v>115</v>
      </c>
      <c r="AR975">
        <v>-512</v>
      </c>
      <c r="AZ975">
        <v>300</v>
      </c>
      <c r="BA975">
        <v>1</v>
      </c>
      <c r="BB975" t="str">
        <f t="shared" si="47"/>
        <v xml:space="preserve">N162AM  </v>
      </c>
      <c r="BC975">
        <v>1</v>
      </c>
      <c r="BE975">
        <v>0</v>
      </c>
      <c r="BF975">
        <v>0</v>
      </c>
      <c r="BG975">
        <v>0</v>
      </c>
      <c r="BH975">
        <v>1750</v>
      </c>
      <c r="BI975">
        <v>1</v>
      </c>
      <c r="BJ975">
        <v>1</v>
      </c>
      <c r="BK975">
        <v>1</v>
      </c>
      <c r="BL975">
        <v>0</v>
      </c>
      <c r="BO975">
        <v>0</v>
      </c>
      <c r="BP975">
        <v>0</v>
      </c>
      <c r="BW975" t="str">
        <f>"14:46:51.952"</f>
        <v>14:46:51.952</v>
      </c>
      <c r="CJ975">
        <v>2</v>
      </c>
      <c r="CK975">
        <v>2</v>
      </c>
      <c r="CL975">
        <v>0</v>
      </c>
      <c r="CM975">
        <v>2</v>
      </c>
      <c r="CN975">
        <v>0</v>
      </c>
      <c r="CO975">
        <v>6</v>
      </c>
      <c r="CP975" t="s">
        <v>119</v>
      </c>
      <c r="CQ975">
        <v>232</v>
      </c>
      <c r="CR975">
        <v>1</v>
      </c>
      <c r="CW975">
        <v>15215159</v>
      </c>
      <c r="CY975">
        <v>1</v>
      </c>
      <c r="CZ975">
        <v>0</v>
      </c>
      <c r="DA975">
        <v>1</v>
      </c>
      <c r="DB975">
        <v>0</v>
      </c>
      <c r="DC975">
        <v>0</v>
      </c>
      <c r="DD975">
        <v>1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"12/16/2021 14:46:52.194"</f>
        <v>12/16/2021 14:46:52.194</v>
      </c>
      <c r="C976" t="str">
        <f t="shared" si="46"/>
        <v>FFDFD3C0</v>
      </c>
      <c r="D976" t="s">
        <v>133</v>
      </c>
      <c r="E976">
        <v>44</v>
      </c>
      <c r="H976">
        <v>131</v>
      </c>
      <c r="I976" t="s">
        <v>134</v>
      </c>
      <c r="J976" t="s">
        <v>135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"14:46:51.945"</f>
        <v>14:46:51.945</v>
      </c>
      <c r="T976" t="str">
        <f>"14:46:51.545"</f>
        <v>14:46:51.545</v>
      </c>
      <c r="U976" t="str">
        <f t="shared" si="45"/>
        <v>A0F928</v>
      </c>
      <c r="V976">
        <v>0</v>
      </c>
      <c r="W976">
        <v>0</v>
      </c>
      <c r="X976">
        <v>2</v>
      </c>
      <c r="Z976">
        <v>0</v>
      </c>
      <c r="AA976">
        <v>9</v>
      </c>
      <c r="AB976">
        <v>3</v>
      </c>
      <c r="AC976">
        <v>0</v>
      </c>
      <c r="AD976">
        <v>10</v>
      </c>
      <c r="AE976">
        <v>0</v>
      </c>
      <c r="AF976">
        <v>3</v>
      </c>
      <c r="AG976">
        <v>2</v>
      </c>
      <c r="AH976">
        <v>1</v>
      </c>
      <c r="AI976" t="s">
        <v>585</v>
      </c>
      <c r="AJ976">
        <v>35.827188</v>
      </c>
      <c r="AK976" t="s">
        <v>404</v>
      </c>
      <c r="AL976">
        <v>-83.941834</v>
      </c>
      <c r="AM976">
        <v>25</v>
      </c>
      <c r="AN976">
        <v>1500</v>
      </c>
      <c r="AO976" t="s">
        <v>118</v>
      </c>
      <c r="AP976">
        <v>30</v>
      </c>
      <c r="AQ976">
        <v>115</v>
      </c>
      <c r="AR976">
        <v>-512</v>
      </c>
      <c r="AZ976">
        <v>300</v>
      </c>
      <c r="BA976">
        <v>1</v>
      </c>
      <c r="BB976" t="str">
        <f t="shared" si="47"/>
        <v xml:space="preserve">N162AM  </v>
      </c>
      <c r="BC976">
        <v>1</v>
      </c>
      <c r="BE976">
        <v>0</v>
      </c>
      <c r="BF976">
        <v>0</v>
      </c>
      <c r="BG976">
        <v>0</v>
      </c>
      <c r="BH976">
        <v>1750</v>
      </c>
      <c r="BI976">
        <v>1</v>
      </c>
      <c r="BJ976">
        <v>1</v>
      </c>
      <c r="BK976">
        <v>1</v>
      </c>
      <c r="BL976">
        <v>0</v>
      </c>
      <c r="BO976">
        <v>0</v>
      </c>
      <c r="BP976">
        <v>0</v>
      </c>
      <c r="BW976" t="str">
        <f>"14:46:51.952"</f>
        <v>14:46:51.952</v>
      </c>
      <c r="CJ976">
        <v>3</v>
      </c>
      <c r="CK976">
        <v>2</v>
      </c>
      <c r="CL976">
        <v>0</v>
      </c>
      <c r="CM976">
        <v>2</v>
      </c>
      <c r="CN976">
        <v>0</v>
      </c>
      <c r="CO976">
        <v>6</v>
      </c>
      <c r="CP976" t="s">
        <v>119</v>
      </c>
      <c r="CQ976">
        <v>232</v>
      </c>
      <c r="CR976">
        <v>1</v>
      </c>
      <c r="CW976">
        <v>15215159</v>
      </c>
      <c r="CY976">
        <v>1</v>
      </c>
      <c r="CZ976">
        <v>0</v>
      </c>
      <c r="DA976">
        <v>1</v>
      </c>
      <c r="DB976">
        <v>0</v>
      </c>
      <c r="DC976">
        <v>0</v>
      </c>
      <c r="DD976">
        <v>1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"12/16/2021 14:46:53.287"</f>
        <v>12/16/2021 14:46:53.287</v>
      </c>
      <c r="C977" t="str">
        <f t="shared" si="46"/>
        <v>FFDFD3C0</v>
      </c>
      <c r="D977" t="s">
        <v>113</v>
      </c>
      <c r="E977">
        <v>8</v>
      </c>
      <c r="H977">
        <v>176</v>
      </c>
      <c r="I977" t="s">
        <v>114</v>
      </c>
      <c r="J977" t="s">
        <v>115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"14:46:53.063"</f>
        <v>14:46:53.063</v>
      </c>
      <c r="T977" t="str">
        <f>"14:46:52.563"</f>
        <v>14:46:52.563</v>
      </c>
      <c r="U977" t="str">
        <f t="shared" si="45"/>
        <v>A0F928</v>
      </c>
      <c r="V977">
        <v>0</v>
      </c>
      <c r="W977">
        <v>0</v>
      </c>
      <c r="X977">
        <v>2</v>
      </c>
      <c r="Z977">
        <v>0</v>
      </c>
      <c r="AA977">
        <v>9</v>
      </c>
      <c r="AB977">
        <v>3</v>
      </c>
      <c r="AC977">
        <v>0</v>
      </c>
      <c r="AD977">
        <v>10</v>
      </c>
      <c r="AE977">
        <v>0</v>
      </c>
      <c r="AF977">
        <v>3</v>
      </c>
      <c r="AG977">
        <v>2</v>
      </c>
      <c r="AH977">
        <v>1</v>
      </c>
      <c r="AI977" t="s">
        <v>586</v>
      </c>
      <c r="AJ977">
        <v>35.827810999999997</v>
      </c>
      <c r="AK977" t="s">
        <v>587</v>
      </c>
      <c r="AL977">
        <v>-83.941748000000004</v>
      </c>
      <c r="AM977">
        <v>25</v>
      </c>
      <c r="AN977">
        <v>1475</v>
      </c>
      <c r="AO977" t="s">
        <v>118</v>
      </c>
      <c r="AP977">
        <v>22</v>
      </c>
      <c r="AQ977">
        <v>116</v>
      </c>
      <c r="AR977">
        <v>-576</v>
      </c>
      <c r="AZ977">
        <v>300</v>
      </c>
      <c r="BA977">
        <v>1</v>
      </c>
      <c r="BB977" t="str">
        <f t="shared" si="47"/>
        <v xml:space="preserve">N162AM  </v>
      </c>
      <c r="BC977">
        <v>1</v>
      </c>
      <c r="BE977">
        <v>0</v>
      </c>
      <c r="BF977">
        <v>0</v>
      </c>
      <c r="BG977">
        <v>0</v>
      </c>
      <c r="BH977">
        <v>1750</v>
      </c>
      <c r="BI977">
        <v>1</v>
      </c>
      <c r="BJ977">
        <v>1</v>
      </c>
      <c r="BK977">
        <v>1</v>
      </c>
      <c r="BL977">
        <v>0</v>
      </c>
      <c r="BO977">
        <v>0</v>
      </c>
      <c r="BP977">
        <v>0</v>
      </c>
      <c r="BW977" t="str">
        <f>"14:46:53.064"</f>
        <v>14:46:53.064</v>
      </c>
      <c r="CJ977">
        <v>3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232</v>
      </c>
      <c r="CR977">
        <v>1</v>
      </c>
      <c r="CW977">
        <v>15216936</v>
      </c>
      <c r="CY977">
        <v>1</v>
      </c>
      <c r="CZ977">
        <v>0</v>
      </c>
      <c r="DA977">
        <v>0</v>
      </c>
      <c r="DB977">
        <v>0</v>
      </c>
      <c r="DC977">
        <v>0</v>
      </c>
      <c r="DD977">
        <v>1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"12/16/2021 14:46:53.319"</f>
        <v>12/16/2021 14:46:53.319</v>
      </c>
      <c r="C978" t="str">
        <f t="shared" si="46"/>
        <v>FFDFD3C0</v>
      </c>
      <c r="D978" t="s">
        <v>133</v>
      </c>
      <c r="E978">
        <v>44</v>
      </c>
      <c r="H978">
        <v>131</v>
      </c>
      <c r="I978" t="s">
        <v>134</v>
      </c>
      <c r="J978" t="s">
        <v>135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"14:46:53.063"</f>
        <v>14:46:53.063</v>
      </c>
      <c r="T978" t="str">
        <f>"14:46:52.563"</f>
        <v>14:46:52.563</v>
      </c>
      <c r="U978" t="str">
        <f t="shared" si="45"/>
        <v>A0F928</v>
      </c>
      <c r="V978">
        <v>0</v>
      </c>
      <c r="W978">
        <v>0</v>
      </c>
      <c r="X978">
        <v>2</v>
      </c>
      <c r="Z978">
        <v>0</v>
      </c>
      <c r="AA978">
        <v>9</v>
      </c>
      <c r="AB978">
        <v>3</v>
      </c>
      <c r="AC978">
        <v>0</v>
      </c>
      <c r="AD978">
        <v>10</v>
      </c>
      <c r="AE978">
        <v>0</v>
      </c>
      <c r="AF978">
        <v>3</v>
      </c>
      <c r="AG978">
        <v>2</v>
      </c>
      <c r="AH978">
        <v>1</v>
      </c>
      <c r="AI978" t="s">
        <v>586</v>
      </c>
      <c r="AJ978">
        <v>35.827810999999997</v>
      </c>
      <c r="AK978" t="s">
        <v>587</v>
      </c>
      <c r="AL978">
        <v>-83.941748000000004</v>
      </c>
      <c r="AM978">
        <v>25</v>
      </c>
      <c r="AN978">
        <v>1475</v>
      </c>
      <c r="AO978" t="s">
        <v>118</v>
      </c>
      <c r="AP978">
        <v>22</v>
      </c>
      <c r="AQ978">
        <v>116</v>
      </c>
      <c r="AR978">
        <v>-576</v>
      </c>
      <c r="AZ978">
        <v>300</v>
      </c>
      <c r="BA978">
        <v>1</v>
      </c>
      <c r="BB978" t="str">
        <f t="shared" si="47"/>
        <v xml:space="preserve">N162AM  </v>
      </c>
      <c r="BC978">
        <v>1</v>
      </c>
      <c r="BE978">
        <v>0</v>
      </c>
      <c r="BF978">
        <v>0</v>
      </c>
      <c r="BG978">
        <v>0</v>
      </c>
      <c r="BH978">
        <v>1750</v>
      </c>
      <c r="BI978">
        <v>1</v>
      </c>
      <c r="BJ978">
        <v>1</v>
      </c>
      <c r="BK978">
        <v>1</v>
      </c>
      <c r="BL978">
        <v>0</v>
      </c>
      <c r="BO978">
        <v>0</v>
      </c>
      <c r="BP978">
        <v>0</v>
      </c>
      <c r="BW978" t="str">
        <f>"14:46:53.064"</f>
        <v>14:46:53.064</v>
      </c>
      <c r="CJ978">
        <v>3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119</v>
      </c>
      <c r="CQ978">
        <v>232</v>
      </c>
      <c r="CR978">
        <v>1</v>
      </c>
      <c r="CW978">
        <v>15216936</v>
      </c>
      <c r="CY978">
        <v>1</v>
      </c>
      <c r="CZ978">
        <v>0</v>
      </c>
      <c r="DA978">
        <v>1</v>
      </c>
      <c r="DB978">
        <v>0</v>
      </c>
      <c r="DC978">
        <v>0</v>
      </c>
      <c r="DD978">
        <v>1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"12/16/2021 14:46:53.319"</f>
        <v>12/16/2021 14:46:53.319</v>
      </c>
      <c r="C979" t="str">
        <f t="shared" si="46"/>
        <v>FFDFD3C0</v>
      </c>
      <c r="D979" t="s">
        <v>124</v>
      </c>
      <c r="E979">
        <v>5</v>
      </c>
      <c r="F979">
        <v>1005</v>
      </c>
      <c r="G979" t="s">
        <v>114</v>
      </c>
      <c r="J979" t="s">
        <v>125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"14:46:53.063"</f>
        <v>14:46:53.063</v>
      </c>
      <c r="T979" t="str">
        <f>"14:46:52.563"</f>
        <v>14:46:52.563</v>
      </c>
      <c r="U979" t="str">
        <f t="shared" si="45"/>
        <v>A0F928</v>
      </c>
      <c r="V979">
        <v>0</v>
      </c>
      <c r="W979">
        <v>0</v>
      </c>
      <c r="X979">
        <v>2</v>
      </c>
      <c r="Z979">
        <v>0</v>
      </c>
      <c r="AA979">
        <v>9</v>
      </c>
      <c r="AB979">
        <v>3</v>
      </c>
      <c r="AC979">
        <v>0</v>
      </c>
      <c r="AD979">
        <v>10</v>
      </c>
      <c r="AE979">
        <v>0</v>
      </c>
      <c r="AF979">
        <v>3</v>
      </c>
      <c r="AG979">
        <v>2</v>
      </c>
      <c r="AH979">
        <v>1</v>
      </c>
      <c r="AI979" t="s">
        <v>586</v>
      </c>
      <c r="AJ979">
        <v>35.827810999999997</v>
      </c>
      <c r="AK979" t="s">
        <v>587</v>
      </c>
      <c r="AL979">
        <v>-83.941748000000004</v>
      </c>
      <c r="AM979">
        <v>25</v>
      </c>
      <c r="AN979">
        <v>1475</v>
      </c>
      <c r="AO979" t="s">
        <v>118</v>
      </c>
      <c r="AP979">
        <v>22</v>
      </c>
      <c r="AQ979">
        <v>116</v>
      </c>
      <c r="AR979">
        <v>-576</v>
      </c>
      <c r="AZ979">
        <v>300</v>
      </c>
      <c r="BA979">
        <v>1</v>
      </c>
      <c r="BB979" t="str">
        <f t="shared" si="47"/>
        <v xml:space="preserve">N162AM  </v>
      </c>
      <c r="BC979">
        <v>1</v>
      </c>
      <c r="BE979">
        <v>0</v>
      </c>
      <c r="BF979">
        <v>0</v>
      </c>
      <c r="BG979">
        <v>0</v>
      </c>
      <c r="BH979">
        <v>1750</v>
      </c>
      <c r="BI979">
        <v>1</v>
      </c>
      <c r="BJ979">
        <v>1</v>
      </c>
      <c r="BK979">
        <v>1</v>
      </c>
      <c r="BL979">
        <v>0</v>
      </c>
      <c r="BO979">
        <v>0</v>
      </c>
      <c r="BP979">
        <v>0</v>
      </c>
      <c r="BW979" t="str">
        <f>"14:46:53.064"</f>
        <v>14:46:53.064</v>
      </c>
      <c r="CJ979">
        <v>3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232</v>
      </c>
      <c r="CR979">
        <v>1</v>
      </c>
      <c r="CW979">
        <v>15216936</v>
      </c>
      <c r="CY979">
        <v>1</v>
      </c>
      <c r="CZ979">
        <v>0</v>
      </c>
      <c r="DA979">
        <v>1</v>
      </c>
      <c r="DB979">
        <v>0</v>
      </c>
      <c r="DC979">
        <v>0</v>
      </c>
      <c r="DD979">
        <v>1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"12/16/2021 14:46:53.287"</f>
        <v>12/16/2021 14:46:53.287</v>
      </c>
      <c r="C980" t="str">
        <f t="shared" si="46"/>
        <v>FFDFD3C0</v>
      </c>
      <c r="D980" t="s">
        <v>124</v>
      </c>
      <c r="E980">
        <v>10</v>
      </c>
      <c r="F980">
        <v>1010</v>
      </c>
      <c r="G980" t="s">
        <v>130</v>
      </c>
      <c r="J980" t="s">
        <v>125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"14:46:53.063"</f>
        <v>14:46:53.063</v>
      </c>
      <c r="T980" t="str">
        <f>"14:46:52.563"</f>
        <v>14:46:52.563</v>
      </c>
      <c r="U980" t="str">
        <f t="shared" si="45"/>
        <v>A0F928</v>
      </c>
      <c r="V980">
        <v>0</v>
      </c>
      <c r="W980">
        <v>0</v>
      </c>
      <c r="X980">
        <v>2</v>
      </c>
      <c r="Z980">
        <v>0</v>
      </c>
      <c r="AA980">
        <v>9</v>
      </c>
      <c r="AB980">
        <v>3</v>
      </c>
      <c r="AC980">
        <v>0</v>
      </c>
      <c r="AD980">
        <v>10</v>
      </c>
      <c r="AE980">
        <v>0</v>
      </c>
      <c r="AF980">
        <v>0</v>
      </c>
      <c r="AG980">
        <v>2</v>
      </c>
      <c r="AH980">
        <v>1</v>
      </c>
      <c r="AI980" t="s">
        <v>586</v>
      </c>
      <c r="AJ980">
        <v>35.827810999999997</v>
      </c>
      <c r="AK980" t="s">
        <v>587</v>
      </c>
      <c r="AL980">
        <v>-83.941748000000004</v>
      </c>
      <c r="AM980">
        <v>25</v>
      </c>
      <c r="AN980">
        <v>1475</v>
      </c>
      <c r="AO980" t="s">
        <v>118</v>
      </c>
      <c r="AP980">
        <v>22</v>
      </c>
      <c r="AQ980">
        <v>116</v>
      </c>
      <c r="AR980">
        <v>-576</v>
      </c>
      <c r="AZ980">
        <v>300</v>
      </c>
      <c r="BA980">
        <v>1</v>
      </c>
      <c r="BB980" t="str">
        <f t="shared" si="47"/>
        <v xml:space="preserve">N162AM  </v>
      </c>
      <c r="BC980">
        <v>1</v>
      </c>
      <c r="BE980">
        <v>0</v>
      </c>
      <c r="BF980">
        <v>0</v>
      </c>
      <c r="BG980">
        <v>0</v>
      </c>
      <c r="BH980">
        <v>1750</v>
      </c>
      <c r="BI980">
        <v>1</v>
      </c>
      <c r="BJ980">
        <v>1</v>
      </c>
      <c r="BK980">
        <v>1</v>
      </c>
      <c r="BL980">
        <v>0</v>
      </c>
      <c r="BO980">
        <v>0</v>
      </c>
      <c r="BP980">
        <v>0</v>
      </c>
      <c r="BW980" t="str">
        <f>"14:46:53.064"</f>
        <v>14:46:53.064</v>
      </c>
      <c r="CJ980">
        <v>2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232</v>
      </c>
      <c r="CR980">
        <v>1</v>
      </c>
      <c r="CW980">
        <v>15216936</v>
      </c>
      <c r="CY980">
        <v>1</v>
      </c>
      <c r="CZ980">
        <v>0</v>
      </c>
      <c r="DA980">
        <v>1</v>
      </c>
      <c r="DB980">
        <v>0</v>
      </c>
      <c r="DC980">
        <v>0</v>
      </c>
      <c r="DD980">
        <v>1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"12/16/2021 14:46:54.647"</f>
        <v>12/16/2021 14:46:54.647</v>
      </c>
      <c r="C981" t="str">
        <f t="shared" si="46"/>
        <v>FFDFD3C0</v>
      </c>
      <c r="D981" t="s">
        <v>124</v>
      </c>
      <c r="E981">
        <v>10</v>
      </c>
      <c r="F981">
        <v>1010</v>
      </c>
      <c r="G981" t="s">
        <v>130</v>
      </c>
      <c r="J981" t="s">
        <v>125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"14:46:54.445"</f>
        <v>14:46:54.445</v>
      </c>
      <c r="T981" t="str">
        <f>"14:46:54.045"</f>
        <v>14:46:54.045</v>
      </c>
      <c r="U981" t="str">
        <f t="shared" si="45"/>
        <v>A0F928</v>
      </c>
      <c r="V981">
        <v>0</v>
      </c>
      <c r="W981">
        <v>0</v>
      </c>
      <c r="X981">
        <v>2</v>
      </c>
      <c r="Z981">
        <v>0</v>
      </c>
      <c r="AA981">
        <v>9</v>
      </c>
      <c r="AB981">
        <v>3</v>
      </c>
      <c r="AC981">
        <v>0</v>
      </c>
      <c r="AD981">
        <v>10</v>
      </c>
      <c r="AE981">
        <v>0</v>
      </c>
      <c r="AF981">
        <v>0</v>
      </c>
      <c r="AG981">
        <v>2</v>
      </c>
      <c r="AH981">
        <v>1</v>
      </c>
      <c r="AI981" t="s">
        <v>588</v>
      </c>
      <c r="AJ981">
        <v>35.828605000000003</v>
      </c>
      <c r="AK981" t="s">
        <v>589</v>
      </c>
      <c r="AL981">
        <v>-83.941683999999995</v>
      </c>
      <c r="AM981">
        <v>25</v>
      </c>
      <c r="AN981">
        <v>1475</v>
      </c>
      <c r="AO981" t="s">
        <v>118</v>
      </c>
      <c r="AP981">
        <v>9</v>
      </c>
      <c r="AQ981">
        <v>117</v>
      </c>
      <c r="AR981">
        <v>-576</v>
      </c>
      <c r="AZ981">
        <v>300</v>
      </c>
      <c r="BA981">
        <v>1</v>
      </c>
      <c r="BB981" t="str">
        <f t="shared" si="47"/>
        <v xml:space="preserve">N162AM  </v>
      </c>
      <c r="BC981">
        <v>1</v>
      </c>
      <c r="BE981">
        <v>0</v>
      </c>
      <c r="BF981">
        <v>0</v>
      </c>
      <c r="BG981">
        <v>0</v>
      </c>
      <c r="BH981">
        <v>1725</v>
      </c>
      <c r="BI981">
        <v>1</v>
      </c>
      <c r="BJ981">
        <v>1</v>
      </c>
      <c r="BK981">
        <v>1</v>
      </c>
      <c r="BL981">
        <v>0</v>
      </c>
      <c r="BO981">
        <v>0</v>
      </c>
      <c r="BP981">
        <v>0</v>
      </c>
      <c r="BW981" t="str">
        <f>"14:46:54.452"</f>
        <v>14:46:54.452</v>
      </c>
      <c r="CJ981">
        <v>2</v>
      </c>
      <c r="CK981">
        <v>2</v>
      </c>
      <c r="CL981">
        <v>0</v>
      </c>
      <c r="CM981">
        <v>2</v>
      </c>
      <c r="CN981">
        <v>0</v>
      </c>
      <c r="CO981">
        <v>6</v>
      </c>
      <c r="CP981" t="s">
        <v>119</v>
      </c>
      <c r="CQ981">
        <v>232</v>
      </c>
      <c r="CR981">
        <v>1</v>
      </c>
      <c r="CW981">
        <v>15218990</v>
      </c>
      <c r="CY981">
        <v>1</v>
      </c>
      <c r="CZ981">
        <v>0</v>
      </c>
      <c r="DA981">
        <v>0</v>
      </c>
      <c r="DB981">
        <v>0</v>
      </c>
      <c r="DC981">
        <v>0</v>
      </c>
      <c r="DD981">
        <v>1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"12/16/2021 14:46:54.647"</f>
        <v>12/16/2021 14:46:54.647</v>
      </c>
      <c r="C982" t="str">
        <f t="shared" si="46"/>
        <v>FFDFD3C0</v>
      </c>
      <c r="D982" t="s">
        <v>113</v>
      </c>
      <c r="E982">
        <v>8</v>
      </c>
      <c r="H982">
        <v>176</v>
      </c>
      <c r="I982" t="s">
        <v>114</v>
      </c>
      <c r="J982" t="s">
        <v>115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"14:46:54.445"</f>
        <v>14:46:54.445</v>
      </c>
      <c r="T982" t="str">
        <f>"14:46:54.045"</f>
        <v>14:46:54.045</v>
      </c>
      <c r="U982" t="str">
        <f t="shared" si="45"/>
        <v>A0F928</v>
      </c>
      <c r="V982">
        <v>0</v>
      </c>
      <c r="W982">
        <v>0</v>
      </c>
      <c r="X982">
        <v>2</v>
      </c>
      <c r="Z982">
        <v>0</v>
      </c>
      <c r="AA982">
        <v>9</v>
      </c>
      <c r="AB982">
        <v>3</v>
      </c>
      <c r="AC982">
        <v>0</v>
      </c>
      <c r="AD982">
        <v>10</v>
      </c>
      <c r="AE982">
        <v>0</v>
      </c>
      <c r="AF982">
        <v>3</v>
      </c>
      <c r="AG982">
        <v>2</v>
      </c>
      <c r="AH982">
        <v>1</v>
      </c>
      <c r="AI982" t="s">
        <v>588</v>
      </c>
      <c r="AJ982">
        <v>35.828605000000003</v>
      </c>
      <c r="AK982" t="s">
        <v>589</v>
      </c>
      <c r="AL982">
        <v>-83.941683999999995</v>
      </c>
      <c r="AM982">
        <v>25</v>
      </c>
      <c r="AN982">
        <v>1475</v>
      </c>
      <c r="AO982" t="s">
        <v>118</v>
      </c>
      <c r="AP982">
        <v>9</v>
      </c>
      <c r="AQ982">
        <v>117</v>
      </c>
      <c r="AR982">
        <v>-576</v>
      </c>
      <c r="AZ982">
        <v>300</v>
      </c>
      <c r="BA982">
        <v>1</v>
      </c>
      <c r="BB982" t="str">
        <f t="shared" si="47"/>
        <v xml:space="preserve">N162AM  </v>
      </c>
      <c r="BC982">
        <v>1</v>
      </c>
      <c r="BE982">
        <v>0</v>
      </c>
      <c r="BF982">
        <v>0</v>
      </c>
      <c r="BG982">
        <v>0</v>
      </c>
      <c r="BH982">
        <v>1725</v>
      </c>
      <c r="BI982">
        <v>1</v>
      </c>
      <c r="BJ982">
        <v>1</v>
      </c>
      <c r="BK982">
        <v>1</v>
      </c>
      <c r="BL982">
        <v>0</v>
      </c>
      <c r="BO982">
        <v>0</v>
      </c>
      <c r="BP982">
        <v>0</v>
      </c>
      <c r="BW982" t="str">
        <f>"14:46:54.452"</f>
        <v>14:46:54.452</v>
      </c>
      <c r="CJ982">
        <v>3</v>
      </c>
      <c r="CK982">
        <v>2</v>
      </c>
      <c r="CL982">
        <v>0</v>
      </c>
      <c r="CM982">
        <v>2</v>
      </c>
      <c r="CN982">
        <v>0</v>
      </c>
      <c r="CO982">
        <v>6</v>
      </c>
      <c r="CP982" t="s">
        <v>119</v>
      </c>
      <c r="CQ982">
        <v>232</v>
      </c>
      <c r="CR982">
        <v>1</v>
      </c>
      <c r="CW982">
        <v>15218990</v>
      </c>
      <c r="CY982">
        <v>1</v>
      </c>
      <c r="CZ982">
        <v>0</v>
      </c>
      <c r="DA982">
        <v>1</v>
      </c>
      <c r="DB982">
        <v>0</v>
      </c>
      <c r="DC982">
        <v>0</v>
      </c>
      <c r="DD982">
        <v>1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"12/16/2021 14:46:54.663"</f>
        <v>12/16/2021 14:46:54.663</v>
      </c>
      <c r="C983" t="str">
        <f t="shared" si="46"/>
        <v>FFDFD3C0</v>
      </c>
      <c r="D983" t="s">
        <v>133</v>
      </c>
      <c r="E983">
        <v>44</v>
      </c>
      <c r="H983">
        <v>131</v>
      </c>
      <c r="I983" t="s">
        <v>134</v>
      </c>
      <c r="J983" t="s">
        <v>135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"14:46:54.445"</f>
        <v>14:46:54.445</v>
      </c>
      <c r="T983" t="str">
        <f>"14:46:54.045"</f>
        <v>14:46:54.045</v>
      </c>
      <c r="U983" t="str">
        <f t="shared" si="45"/>
        <v>A0F928</v>
      </c>
      <c r="V983">
        <v>0</v>
      </c>
      <c r="W983">
        <v>0</v>
      </c>
      <c r="X983">
        <v>2</v>
      </c>
      <c r="Z983">
        <v>0</v>
      </c>
      <c r="AA983">
        <v>9</v>
      </c>
      <c r="AB983">
        <v>3</v>
      </c>
      <c r="AC983">
        <v>0</v>
      </c>
      <c r="AD983">
        <v>10</v>
      </c>
      <c r="AE983">
        <v>0</v>
      </c>
      <c r="AF983">
        <v>3</v>
      </c>
      <c r="AG983">
        <v>2</v>
      </c>
      <c r="AH983">
        <v>1</v>
      </c>
      <c r="AI983" t="s">
        <v>588</v>
      </c>
      <c r="AJ983">
        <v>35.828605000000003</v>
      </c>
      <c r="AK983" t="s">
        <v>589</v>
      </c>
      <c r="AL983">
        <v>-83.941683999999995</v>
      </c>
      <c r="AM983">
        <v>25</v>
      </c>
      <c r="AN983">
        <v>1475</v>
      </c>
      <c r="AO983" t="s">
        <v>118</v>
      </c>
      <c r="AP983">
        <v>9</v>
      </c>
      <c r="AQ983">
        <v>117</v>
      </c>
      <c r="AR983">
        <v>-576</v>
      </c>
      <c r="AZ983">
        <v>300</v>
      </c>
      <c r="BA983">
        <v>1</v>
      </c>
      <c r="BB983" t="str">
        <f t="shared" si="47"/>
        <v xml:space="preserve">N162AM  </v>
      </c>
      <c r="BC983">
        <v>1</v>
      </c>
      <c r="BE983">
        <v>0</v>
      </c>
      <c r="BF983">
        <v>0</v>
      </c>
      <c r="BG983">
        <v>0</v>
      </c>
      <c r="BH983">
        <v>1725</v>
      </c>
      <c r="BI983">
        <v>1</v>
      </c>
      <c r="BJ983">
        <v>1</v>
      </c>
      <c r="BK983">
        <v>1</v>
      </c>
      <c r="BL983">
        <v>0</v>
      </c>
      <c r="BO983">
        <v>0</v>
      </c>
      <c r="BP983">
        <v>0</v>
      </c>
      <c r="BW983" t="str">
        <f>"14:46:54.452"</f>
        <v>14:46:54.452</v>
      </c>
      <c r="CJ983">
        <v>3</v>
      </c>
      <c r="CK983">
        <v>2</v>
      </c>
      <c r="CL983">
        <v>0</v>
      </c>
      <c r="CM983">
        <v>2</v>
      </c>
      <c r="CN983">
        <v>0</v>
      </c>
      <c r="CO983">
        <v>6</v>
      </c>
      <c r="CP983" t="s">
        <v>119</v>
      </c>
      <c r="CQ983">
        <v>232</v>
      </c>
      <c r="CR983">
        <v>1</v>
      </c>
      <c r="CW983">
        <v>15218990</v>
      </c>
      <c r="CY983">
        <v>1</v>
      </c>
      <c r="CZ983">
        <v>0</v>
      </c>
      <c r="DA983">
        <v>1</v>
      </c>
      <c r="DB983">
        <v>0</v>
      </c>
      <c r="DC983">
        <v>0</v>
      </c>
      <c r="DD983">
        <v>1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"12/16/2021 14:46:54.663"</f>
        <v>12/16/2021 14:46:54.663</v>
      </c>
      <c r="C984" t="str">
        <f t="shared" si="46"/>
        <v>FFDFD3C0</v>
      </c>
      <c r="D984" t="s">
        <v>124</v>
      </c>
      <c r="E984">
        <v>5</v>
      </c>
      <c r="F984">
        <v>1005</v>
      </c>
      <c r="G984" t="s">
        <v>114</v>
      </c>
      <c r="J984" t="s">
        <v>125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"14:46:54.445"</f>
        <v>14:46:54.445</v>
      </c>
      <c r="T984" t="str">
        <f>"14:46:54.045"</f>
        <v>14:46:54.045</v>
      </c>
      <c r="U984" t="str">
        <f t="shared" si="45"/>
        <v>A0F928</v>
      </c>
      <c r="V984">
        <v>0</v>
      </c>
      <c r="W984">
        <v>0</v>
      </c>
      <c r="X984">
        <v>2</v>
      </c>
      <c r="Z984">
        <v>0</v>
      </c>
      <c r="AA984">
        <v>9</v>
      </c>
      <c r="AB984">
        <v>3</v>
      </c>
      <c r="AC984">
        <v>0</v>
      </c>
      <c r="AD984">
        <v>10</v>
      </c>
      <c r="AE984">
        <v>0</v>
      </c>
      <c r="AF984">
        <v>3</v>
      </c>
      <c r="AG984">
        <v>2</v>
      </c>
      <c r="AH984">
        <v>1</v>
      </c>
      <c r="AI984" t="s">
        <v>588</v>
      </c>
      <c r="AJ984">
        <v>35.828605000000003</v>
      </c>
      <c r="AK984" t="s">
        <v>589</v>
      </c>
      <c r="AL984">
        <v>-83.941683999999995</v>
      </c>
      <c r="AM984">
        <v>25</v>
      </c>
      <c r="AN984">
        <v>1475</v>
      </c>
      <c r="AO984" t="s">
        <v>118</v>
      </c>
      <c r="AP984">
        <v>9</v>
      </c>
      <c r="AQ984">
        <v>117</v>
      </c>
      <c r="AR984">
        <v>-576</v>
      </c>
      <c r="AZ984">
        <v>300</v>
      </c>
      <c r="BA984">
        <v>1</v>
      </c>
      <c r="BB984" t="str">
        <f t="shared" si="47"/>
        <v xml:space="preserve">N162AM  </v>
      </c>
      <c r="BC984">
        <v>1</v>
      </c>
      <c r="BE984">
        <v>0</v>
      </c>
      <c r="BF984">
        <v>0</v>
      </c>
      <c r="BG984">
        <v>0</v>
      </c>
      <c r="BH984">
        <v>1725</v>
      </c>
      <c r="BI984">
        <v>1</v>
      </c>
      <c r="BJ984">
        <v>1</v>
      </c>
      <c r="BK984">
        <v>1</v>
      </c>
      <c r="BL984">
        <v>0</v>
      </c>
      <c r="BO984">
        <v>0</v>
      </c>
      <c r="BP984">
        <v>0</v>
      </c>
      <c r="BW984" t="str">
        <f>"14:46:54.452"</f>
        <v>14:46:54.452</v>
      </c>
      <c r="CJ984">
        <v>3</v>
      </c>
      <c r="CK984">
        <v>2</v>
      </c>
      <c r="CL984">
        <v>0</v>
      </c>
      <c r="CM984">
        <v>2</v>
      </c>
      <c r="CN984">
        <v>0</v>
      </c>
      <c r="CO984">
        <v>6</v>
      </c>
      <c r="CP984" t="s">
        <v>119</v>
      </c>
      <c r="CQ984">
        <v>232</v>
      </c>
      <c r="CR984">
        <v>1</v>
      </c>
      <c r="CW984">
        <v>15218990</v>
      </c>
      <c r="CY984">
        <v>1</v>
      </c>
      <c r="CZ984">
        <v>0</v>
      </c>
      <c r="DA984">
        <v>1</v>
      </c>
      <c r="DB984">
        <v>0</v>
      </c>
      <c r="DC984">
        <v>0</v>
      </c>
      <c r="DD984">
        <v>1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"12/16/2021 14:46:55.749"</f>
        <v>12/16/2021 14:46:55.749</v>
      </c>
      <c r="C985" t="str">
        <f t="shared" si="46"/>
        <v>FFDFD3C0</v>
      </c>
      <c r="D985" t="s">
        <v>124</v>
      </c>
      <c r="E985">
        <v>10</v>
      </c>
      <c r="F985">
        <v>1010</v>
      </c>
      <c r="G985" t="s">
        <v>130</v>
      </c>
      <c r="J985" t="s">
        <v>125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"14:46:55.531"</f>
        <v>14:46:55.531</v>
      </c>
      <c r="T985" t="str">
        <f>"14:46:55.131"</f>
        <v>14:46:55.131</v>
      </c>
      <c r="U985" t="str">
        <f t="shared" si="45"/>
        <v>A0F928</v>
      </c>
      <c r="V985">
        <v>0</v>
      </c>
      <c r="W985">
        <v>0</v>
      </c>
      <c r="X985">
        <v>2</v>
      </c>
      <c r="Z985">
        <v>0</v>
      </c>
      <c r="AA985">
        <v>9</v>
      </c>
      <c r="AB985">
        <v>3</v>
      </c>
      <c r="AC985">
        <v>0</v>
      </c>
      <c r="AD985">
        <v>10</v>
      </c>
      <c r="AE985">
        <v>0</v>
      </c>
      <c r="AF985">
        <v>0</v>
      </c>
      <c r="AG985">
        <v>2</v>
      </c>
      <c r="AH985">
        <v>1</v>
      </c>
      <c r="AI985" t="s">
        <v>590</v>
      </c>
      <c r="AJ985">
        <v>35.829120000000003</v>
      </c>
      <c r="AK985" t="s">
        <v>589</v>
      </c>
      <c r="AL985">
        <v>-83.941683999999995</v>
      </c>
      <c r="AM985">
        <v>25</v>
      </c>
      <c r="AN985">
        <v>1450</v>
      </c>
      <c r="AO985" t="s">
        <v>118</v>
      </c>
      <c r="AP985">
        <v>-1</v>
      </c>
      <c r="AQ985">
        <v>116</v>
      </c>
      <c r="AR985">
        <v>-640</v>
      </c>
      <c r="AZ985">
        <v>300</v>
      </c>
      <c r="BA985">
        <v>1</v>
      </c>
      <c r="BB985" t="str">
        <f t="shared" si="47"/>
        <v xml:space="preserve">N162AM  </v>
      </c>
      <c r="BC985">
        <v>1</v>
      </c>
      <c r="BE985">
        <v>0</v>
      </c>
      <c r="BF985">
        <v>0</v>
      </c>
      <c r="BG985">
        <v>0</v>
      </c>
      <c r="BH985">
        <v>1725</v>
      </c>
      <c r="BI985">
        <v>1</v>
      </c>
      <c r="BJ985">
        <v>1</v>
      </c>
      <c r="BK985">
        <v>1</v>
      </c>
      <c r="BL985">
        <v>0</v>
      </c>
      <c r="BO985">
        <v>0</v>
      </c>
      <c r="BP985">
        <v>0</v>
      </c>
      <c r="BW985" t="str">
        <f>"14:46:55.531"</f>
        <v>14:46:55.531</v>
      </c>
      <c r="CJ985">
        <v>2</v>
      </c>
      <c r="CK985">
        <v>2</v>
      </c>
      <c r="CL985">
        <v>0</v>
      </c>
      <c r="CM985">
        <v>2</v>
      </c>
      <c r="CN985">
        <v>0</v>
      </c>
      <c r="CO985">
        <v>7</v>
      </c>
      <c r="CP985" t="s">
        <v>119</v>
      </c>
      <c r="CQ985">
        <v>232</v>
      </c>
      <c r="CR985">
        <v>1</v>
      </c>
      <c r="CW985">
        <v>15220592</v>
      </c>
      <c r="CY985">
        <v>1</v>
      </c>
      <c r="CZ985">
        <v>0</v>
      </c>
      <c r="DA985">
        <v>0</v>
      </c>
      <c r="DB985">
        <v>0</v>
      </c>
      <c r="DC985">
        <v>0</v>
      </c>
      <c r="DD985">
        <v>1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"12/16/2021 14:46:55.749"</f>
        <v>12/16/2021 14:46:55.749</v>
      </c>
      <c r="C986" t="str">
        <f t="shared" si="46"/>
        <v>FFDFD3C0</v>
      </c>
      <c r="D986" t="s">
        <v>113</v>
      </c>
      <c r="E986">
        <v>8</v>
      </c>
      <c r="H986">
        <v>176</v>
      </c>
      <c r="I986" t="s">
        <v>114</v>
      </c>
      <c r="J986" t="s">
        <v>115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"14:46:55.531"</f>
        <v>14:46:55.531</v>
      </c>
      <c r="T986" t="str">
        <f>"14:46:55.131"</f>
        <v>14:46:55.131</v>
      </c>
      <c r="U986" t="str">
        <f t="shared" si="45"/>
        <v>A0F928</v>
      </c>
      <c r="V986">
        <v>0</v>
      </c>
      <c r="W986">
        <v>0</v>
      </c>
      <c r="X986">
        <v>2</v>
      </c>
      <c r="Z986">
        <v>0</v>
      </c>
      <c r="AA986">
        <v>9</v>
      </c>
      <c r="AB986">
        <v>3</v>
      </c>
      <c r="AC986">
        <v>0</v>
      </c>
      <c r="AD986">
        <v>10</v>
      </c>
      <c r="AE986">
        <v>0</v>
      </c>
      <c r="AF986">
        <v>3</v>
      </c>
      <c r="AG986">
        <v>2</v>
      </c>
      <c r="AH986">
        <v>1</v>
      </c>
      <c r="AI986" t="s">
        <v>590</v>
      </c>
      <c r="AJ986">
        <v>35.829120000000003</v>
      </c>
      <c r="AK986" t="s">
        <v>589</v>
      </c>
      <c r="AL986">
        <v>-83.941683999999995</v>
      </c>
      <c r="AM986">
        <v>25</v>
      </c>
      <c r="AN986">
        <v>1450</v>
      </c>
      <c r="AO986" t="s">
        <v>118</v>
      </c>
      <c r="AP986">
        <v>-1</v>
      </c>
      <c r="AQ986">
        <v>116</v>
      </c>
      <c r="AR986">
        <v>-640</v>
      </c>
      <c r="AZ986">
        <v>300</v>
      </c>
      <c r="BA986">
        <v>1</v>
      </c>
      <c r="BB986" t="str">
        <f t="shared" si="47"/>
        <v xml:space="preserve">N162AM  </v>
      </c>
      <c r="BC986">
        <v>1</v>
      </c>
      <c r="BE986">
        <v>0</v>
      </c>
      <c r="BF986">
        <v>0</v>
      </c>
      <c r="BG986">
        <v>0</v>
      </c>
      <c r="BH986">
        <v>1725</v>
      </c>
      <c r="BI986">
        <v>1</v>
      </c>
      <c r="BJ986">
        <v>1</v>
      </c>
      <c r="BK986">
        <v>1</v>
      </c>
      <c r="BL986">
        <v>0</v>
      </c>
      <c r="BO986">
        <v>0</v>
      </c>
      <c r="BP986">
        <v>0</v>
      </c>
      <c r="BW986" t="str">
        <f>"14:46:55.531"</f>
        <v>14:46:55.531</v>
      </c>
      <c r="CJ986">
        <v>3</v>
      </c>
      <c r="CK986">
        <v>2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232</v>
      </c>
      <c r="CR986">
        <v>1</v>
      </c>
      <c r="CW986">
        <v>15220592</v>
      </c>
      <c r="CY986">
        <v>1</v>
      </c>
      <c r="CZ986">
        <v>0</v>
      </c>
      <c r="DA986">
        <v>1</v>
      </c>
      <c r="DB986">
        <v>0</v>
      </c>
      <c r="DC986">
        <v>0</v>
      </c>
      <c r="DD986">
        <v>1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"12/16/2021 14:46:55.811"</f>
        <v>12/16/2021 14:46:55.811</v>
      </c>
      <c r="C987" t="str">
        <f t="shared" si="46"/>
        <v>FFDFD3C0</v>
      </c>
      <c r="D987" t="s">
        <v>124</v>
      </c>
      <c r="E987">
        <v>5</v>
      </c>
      <c r="F987">
        <v>1005</v>
      </c>
      <c r="G987" t="s">
        <v>114</v>
      </c>
      <c r="J987" t="s">
        <v>125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"14:46:55.531"</f>
        <v>14:46:55.531</v>
      </c>
      <c r="T987" t="str">
        <f>"14:46:55.131"</f>
        <v>14:46:55.131</v>
      </c>
      <c r="U987" t="str">
        <f t="shared" si="45"/>
        <v>A0F928</v>
      </c>
      <c r="V987">
        <v>0</v>
      </c>
      <c r="W987">
        <v>0</v>
      </c>
      <c r="X987">
        <v>2</v>
      </c>
      <c r="Z987">
        <v>0</v>
      </c>
      <c r="AA987">
        <v>9</v>
      </c>
      <c r="AB987">
        <v>3</v>
      </c>
      <c r="AC987">
        <v>0</v>
      </c>
      <c r="AD987">
        <v>10</v>
      </c>
      <c r="AE987">
        <v>0</v>
      </c>
      <c r="AF987">
        <v>3</v>
      </c>
      <c r="AG987">
        <v>2</v>
      </c>
      <c r="AH987">
        <v>1</v>
      </c>
      <c r="AI987" t="s">
        <v>590</v>
      </c>
      <c r="AJ987">
        <v>35.829120000000003</v>
      </c>
      <c r="AK987" t="s">
        <v>589</v>
      </c>
      <c r="AL987">
        <v>-83.941683999999995</v>
      </c>
      <c r="AM987">
        <v>25</v>
      </c>
      <c r="AN987">
        <v>1450</v>
      </c>
      <c r="AO987" t="s">
        <v>118</v>
      </c>
      <c r="AP987">
        <v>-1</v>
      </c>
      <c r="AQ987">
        <v>116</v>
      </c>
      <c r="AR987">
        <v>-640</v>
      </c>
      <c r="AZ987">
        <v>300</v>
      </c>
      <c r="BA987">
        <v>1</v>
      </c>
      <c r="BB987" t="str">
        <f t="shared" si="47"/>
        <v xml:space="preserve">N162AM  </v>
      </c>
      <c r="BC987">
        <v>1</v>
      </c>
      <c r="BE987">
        <v>0</v>
      </c>
      <c r="BF987">
        <v>0</v>
      </c>
      <c r="BG987">
        <v>0</v>
      </c>
      <c r="BH987">
        <v>1725</v>
      </c>
      <c r="BI987">
        <v>1</v>
      </c>
      <c r="BJ987">
        <v>1</v>
      </c>
      <c r="BK987">
        <v>1</v>
      </c>
      <c r="BL987">
        <v>0</v>
      </c>
      <c r="BO987">
        <v>0</v>
      </c>
      <c r="BP987">
        <v>0</v>
      </c>
      <c r="BW987" t="str">
        <f>"14:46:55.531"</f>
        <v>14:46:55.531</v>
      </c>
      <c r="CJ987">
        <v>3</v>
      </c>
      <c r="CK987">
        <v>2</v>
      </c>
      <c r="CL987">
        <v>0</v>
      </c>
      <c r="CM987">
        <v>2</v>
      </c>
      <c r="CN987">
        <v>0</v>
      </c>
      <c r="CO987">
        <v>7</v>
      </c>
      <c r="CP987" t="s">
        <v>119</v>
      </c>
      <c r="CQ987">
        <v>232</v>
      </c>
      <c r="CR987">
        <v>1</v>
      </c>
      <c r="CW987">
        <v>15220592</v>
      </c>
      <c r="CY987">
        <v>1</v>
      </c>
      <c r="CZ987">
        <v>0</v>
      </c>
      <c r="DA987">
        <v>1</v>
      </c>
      <c r="DB987">
        <v>0</v>
      </c>
      <c r="DC987">
        <v>0</v>
      </c>
      <c r="DD987">
        <v>1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"12/16/2021 14:46:55.827"</f>
        <v>12/16/2021 14:46:55.827</v>
      </c>
      <c r="C988" t="str">
        <f t="shared" si="46"/>
        <v>FFDFD3C0</v>
      </c>
      <c r="D988" t="s">
        <v>133</v>
      </c>
      <c r="E988">
        <v>44</v>
      </c>
      <c r="H988">
        <v>131</v>
      </c>
      <c r="I988" t="s">
        <v>134</v>
      </c>
      <c r="J988" t="s">
        <v>135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"14:46:55.531"</f>
        <v>14:46:55.531</v>
      </c>
      <c r="T988" t="str">
        <f>"14:46:55.131"</f>
        <v>14:46:55.131</v>
      </c>
      <c r="U988" t="str">
        <f t="shared" si="45"/>
        <v>A0F928</v>
      </c>
      <c r="V988">
        <v>0</v>
      </c>
      <c r="W988">
        <v>0</v>
      </c>
      <c r="X988">
        <v>2</v>
      </c>
      <c r="Z988">
        <v>0</v>
      </c>
      <c r="AA988">
        <v>9</v>
      </c>
      <c r="AB988">
        <v>3</v>
      </c>
      <c r="AC988">
        <v>0</v>
      </c>
      <c r="AD988">
        <v>10</v>
      </c>
      <c r="AE988">
        <v>0</v>
      </c>
      <c r="AF988">
        <v>3</v>
      </c>
      <c r="AG988">
        <v>2</v>
      </c>
      <c r="AH988">
        <v>1</v>
      </c>
      <c r="AI988" t="s">
        <v>590</v>
      </c>
      <c r="AJ988">
        <v>35.829120000000003</v>
      </c>
      <c r="AK988" t="s">
        <v>589</v>
      </c>
      <c r="AL988">
        <v>-83.941683999999995</v>
      </c>
      <c r="AM988">
        <v>25</v>
      </c>
      <c r="AN988">
        <v>1450</v>
      </c>
      <c r="AO988" t="s">
        <v>118</v>
      </c>
      <c r="AP988">
        <v>-1</v>
      </c>
      <c r="AQ988">
        <v>116</v>
      </c>
      <c r="AR988">
        <v>-640</v>
      </c>
      <c r="AZ988">
        <v>300</v>
      </c>
      <c r="BA988">
        <v>1</v>
      </c>
      <c r="BB988" t="str">
        <f t="shared" si="47"/>
        <v xml:space="preserve">N162AM  </v>
      </c>
      <c r="BC988">
        <v>1</v>
      </c>
      <c r="BE988">
        <v>0</v>
      </c>
      <c r="BF988">
        <v>0</v>
      </c>
      <c r="BG988">
        <v>0</v>
      </c>
      <c r="BH988">
        <v>1725</v>
      </c>
      <c r="BI988">
        <v>1</v>
      </c>
      <c r="BJ988">
        <v>1</v>
      </c>
      <c r="BK988">
        <v>1</v>
      </c>
      <c r="BL988">
        <v>0</v>
      </c>
      <c r="BO988">
        <v>0</v>
      </c>
      <c r="BP988">
        <v>0</v>
      </c>
      <c r="BW988" t="str">
        <f>"14:46:55.531"</f>
        <v>14:46:55.531</v>
      </c>
      <c r="CJ988">
        <v>3</v>
      </c>
      <c r="CK988">
        <v>2</v>
      </c>
      <c r="CL988">
        <v>0</v>
      </c>
      <c r="CM988">
        <v>2</v>
      </c>
      <c r="CN988">
        <v>0</v>
      </c>
      <c r="CO988">
        <v>7</v>
      </c>
      <c r="CP988" t="s">
        <v>119</v>
      </c>
      <c r="CQ988">
        <v>232</v>
      </c>
      <c r="CR988">
        <v>1</v>
      </c>
      <c r="CW988">
        <v>15220592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1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"12/16/2021 14:46:56.702"</f>
        <v>12/16/2021 14:46:56.702</v>
      </c>
      <c r="C989" t="str">
        <f t="shared" si="46"/>
        <v>FFDFD3C0</v>
      </c>
      <c r="D989" t="s">
        <v>124</v>
      </c>
      <c r="E989">
        <v>5</v>
      </c>
      <c r="F989">
        <v>1005</v>
      </c>
      <c r="G989" t="s">
        <v>114</v>
      </c>
      <c r="J989" t="s">
        <v>125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"14:46:56.500"</f>
        <v>14:46:56.500</v>
      </c>
      <c r="T989" t="str">
        <f>"14:46:56.100"</f>
        <v>14:46:56.100</v>
      </c>
      <c r="U989" t="str">
        <f t="shared" si="45"/>
        <v>A0F928</v>
      </c>
      <c r="V989">
        <v>0</v>
      </c>
      <c r="W989">
        <v>0</v>
      </c>
      <c r="X989">
        <v>2</v>
      </c>
      <c r="Z989">
        <v>0</v>
      </c>
      <c r="AA989">
        <v>9</v>
      </c>
      <c r="AB989">
        <v>3</v>
      </c>
      <c r="AC989">
        <v>0</v>
      </c>
      <c r="AD989">
        <v>10</v>
      </c>
      <c r="AE989">
        <v>0</v>
      </c>
      <c r="AF989">
        <v>3</v>
      </c>
      <c r="AG989">
        <v>2</v>
      </c>
      <c r="AH989">
        <v>1</v>
      </c>
      <c r="AI989" t="s">
        <v>591</v>
      </c>
      <c r="AJ989">
        <v>35.829635000000003</v>
      </c>
      <c r="AK989" t="s">
        <v>587</v>
      </c>
      <c r="AL989">
        <v>-83.941748000000004</v>
      </c>
      <c r="AM989">
        <v>25</v>
      </c>
      <c r="AN989">
        <v>1450</v>
      </c>
      <c r="AO989" t="s">
        <v>118</v>
      </c>
      <c r="AP989">
        <v>-12</v>
      </c>
      <c r="AQ989">
        <v>115</v>
      </c>
      <c r="AR989">
        <v>-640</v>
      </c>
      <c r="AZ989">
        <v>300</v>
      </c>
      <c r="BA989">
        <v>1</v>
      </c>
      <c r="BB989" t="str">
        <f t="shared" si="47"/>
        <v xml:space="preserve">N162AM  </v>
      </c>
      <c r="BC989">
        <v>1</v>
      </c>
      <c r="BE989">
        <v>0</v>
      </c>
      <c r="BF989">
        <v>0</v>
      </c>
      <c r="BG989">
        <v>0</v>
      </c>
      <c r="BH989">
        <v>1700</v>
      </c>
      <c r="BI989">
        <v>1</v>
      </c>
      <c r="BJ989">
        <v>1</v>
      </c>
      <c r="BK989">
        <v>1</v>
      </c>
      <c r="BL989">
        <v>0</v>
      </c>
      <c r="BO989">
        <v>0</v>
      </c>
      <c r="BP989">
        <v>0</v>
      </c>
      <c r="BW989" t="str">
        <f>"14:46:56.501"</f>
        <v>14:46:56.501</v>
      </c>
      <c r="CJ989">
        <v>3</v>
      </c>
      <c r="CK989">
        <v>2</v>
      </c>
      <c r="CL989">
        <v>0</v>
      </c>
      <c r="CM989">
        <v>2</v>
      </c>
      <c r="CN989">
        <v>0</v>
      </c>
      <c r="CO989">
        <v>7</v>
      </c>
      <c r="CP989" t="s">
        <v>119</v>
      </c>
      <c r="CQ989">
        <v>232</v>
      </c>
      <c r="CR989">
        <v>2</v>
      </c>
      <c r="CW989">
        <v>6414270</v>
      </c>
      <c r="CY989">
        <v>1</v>
      </c>
      <c r="CZ989">
        <v>0</v>
      </c>
      <c r="DA989">
        <v>0</v>
      </c>
      <c r="DB989">
        <v>0</v>
      </c>
      <c r="DC989">
        <v>0</v>
      </c>
      <c r="DD989">
        <v>1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"12/16/2021 14:46:56.702"</f>
        <v>12/16/2021 14:46:56.702</v>
      </c>
      <c r="C990" t="str">
        <f t="shared" si="46"/>
        <v>FFDFD3C0</v>
      </c>
      <c r="D990" t="s">
        <v>133</v>
      </c>
      <c r="E990">
        <v>44</v>
      </c>
      <c r="H990">
        <v>131</v>
      </c>
      <c r="I990" t="s">
        <v>134</v>
      </c>
      <c r="J990" t="s">
        <v>135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"14:46:56.500"</f>
        <v>14:46:56.500</v>
      </c>
      <c r="T990" t="str">
        <f>"14:46:56.100"</f>
        <v>14:46:56.100</v>
      </c>
      <c r="U990" t="str">
        <f t="shared" si="45"/>
        <v>A0F928</v>
      </c>
      <c r="V990">
        <v>0</v>
      </c>
      <c r="W990">
        <v>0</v>
      </c>
      <c r="X990">
        <v>2</v>
      </c>
      <c r="Z990">
        <v>0</v>
      </c>
      <c r="AA990">
        <v>9</v>
      </c>
      <c r="AB990">
        <v>3</v>
      </c>
      <c r="AC990">
        <v>0</v>
      </c>
      <c r="AD990">
        <v>10</v>
      </c>
      <c r="AE990">
        <v>0</v>
      </c>
      <c r="AF990">
        <v>3</v>
      </c>
      <c r="AG990">
        <v>2</v>
      </c>
      <c r="AH990">
        <v>1</v>
      </c>
      <c r="AI990" t="s">
        <v>591</v>
      </c>
      <c r="AJ990">
        <v>35.829635000000003</v>
      </c>
      <c r="AK990" t="s">
        <v>587</v>
      </c>
      <c r="AL990">
        <v>-83.941748000000004</v>
      </c>
      <c r="AM990">
        <v>25</v>
      </c>
      <c r="AN990">
        <v>1450</v>
      </c>
      <c r="AO990" t="s">
        <v>118</v>
      </c>
      <c r="AP990">
        <v>-12</v>
      </c>
      <c r="AQ990">
        <v>115</v>
      </c>
      <c r="AR990">
        <v>-640</v>
      </c>
      <c r="AZ990">
        <v>300</v>
      </c>
      <c r="BA990">
        <v>1</v>
      </c>
      <c r="BB990" t="str">
        <f t="shared" si="47"/>
        <v xml:space="preserve">N162AM  </v>
      </c>
      <c r="BC990">
        <v>1</v>
      </c>
      <c r="BE990">
        <v>0</v>
      </c>
      <c r="BF990">
        <v>0</v>
      </c>
      <c r="BG990">
        <v>0</v>
      </c>
      <c r="BH990">
        <v>1700</v>
      </c>
      <c r="BI990">
        <v>1</v>
      </c>
      <c r="BJ990">
        <v>1</v>
      </c>
      <c r="BK990">
        <v>1</v>
      </c>
      <c r="BL990">
        <v>0</v>
      </c>
      <c r="BO990">
        <v>0</v>
      </c>
      <c r="BP990">
        <v>0</v>
      </c>
      <c r="BW990" t="str">
        <f>"14:46:56.501"</f>
        <v>14:46:56.501</v>
      </c>
      <c r="CJ990">
        <v>3</v>
      </c>
      <c r="CK990">
        <v>2</v>
      </c>
      <c r="CL990">
        <v>0</v>
      </c>
      <c r="CM990">
        <v>2</v>
      </c>
      <c r="CN990">
        <v>0</v>
      </c>
      <c r="CO990">
        <v>7</v>
      </c>
      <c r="CP990" t="s">
        <v>119</v>
      </c>
      <c r="CQ990">
        <v>232</v>
      </c>
      <c r="CR990">
        <v>2</v>
      </c>
      <c r="CW990">
        <v>6414270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1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"12/16/2021 14:46:56.702"</f>
        <v>12/16/2021 14:46:56.702</v>
      </c>
      <c r="C991" t="str">
        <f t="shared" si="46"/>
        <v>FFDFD3C0</v>
      </c>
      <c r="D991" t="s">
        <v>124</v>
      </c>
      <c r="E991">
        <v>10</v>
      </c>
      <c r="F991">
        <v>1010</v>
      </c>
      <c r="G991" t="s">
        <v>130</v>
      </c>
      <c r="J991" t="s">
        <v>125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"14:46:56.500"</f>
        <v>14:46:56.500</v>
      </c>
      <c r="T991" t="str">
        <f>"14:46:56.100"</f>
        <v>14:46:56.100</v>
      </c>
      <c r="U991" t="str">
        <f t="shared" si="45"/>
        <v>A0F928</v>
      </c>
      <c r="V991">
        <v>0</v>
      </c>
      <c r="W991">
        <v>0</v>
      </c>
      <c r="X991">
        <v>2</v>
      </c>
      <c r="Z991">
        <v>0</v>
      </c>
      <c r="AA991">
        <v>9</v>
      </c>
      <c r="AB991">
        <v>3</v>
      </c>
      <c r="AC991">
        <v>0</v>
      </c>
      <c r="AD991">
        <v>10</v>
      </c>
      <c r="AE991">
        <v>0</v>
      </c>
      <c r="AF991">
        <v>0</v>
      </c>
      <c r="AG991">
        <v>2</v>
      </c>
      <c r="AH991">
        <v>1</v>
      </c>
      <c r="AI991" t="s">
        <v>591</v>
      </c>
      <c r="AJ991">
        <v>35.829635000000003</v>
      </c>
      <c r="AK991" t="s">
        <v>587</v>
      </c>
      <c r="AL991">
        <v>-83.941748000000004</v>
      </c>
      <c r="AM991">
        <v>25</v>
      </c>
      <c r="AN991">
        <v>1450</v>
      </c>
      <c r="AO991" t="s">
        <v>118</v>
      </c>
      <c r="AP991">
        <v>-12</v>
      </c>
      <c r="AQ991">
        <v>115</v>
      </c>
      <c r="AR991">
        <v>-640</v>
      </c>
      <c r="AZ991">
        <v>300</v>
      </c>
      <c r="BA991">
        <v>1</v>
      </c>
      <c r="BB991" t="str">
        <f t="shared" si="47"/>
        <v xml:space="preserve">N162AM  </v>
      </c>
      <c r="BC991">
        <v>1</v>
      </c>
      <c r="BE991">
        <v>0</v>
      </c>
      <c r="BF991">
        <v>0</v>
      </c>
      <c r="BG991">
        <v>0</v>
      </c>
      <c r="BH991">
        <v>1700</v>
      </c>
      <c r="BI991">
        <v>1</v>
      </c>
      <c r="BJ991">
        <v>1</v>
      </c>
      <c r="BK991">
        <v>1</v>
      </c>
      <c r="BL991">
        <v>0</v>
      </c>
      <c r="BO991">
        <v>0</v>
      </c>
      <c r="BP991">
        <v>0</v>
      </c>
      <c r="BW991" t="str">
        <f>"14:46:56.501"</f>
        <v>14:46:56.501</v>
      </c>
      <c r="CJ991">
        <v>2</v>
      </c>
      <c r="CK991">
        <v>2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232</v>
      </c>
      <c r="CR991">
        <v>2</v>
      </c>
      <c r="CW991">
        <v>6414270</v>
      </c>
      <c r="CY991">
        <v>1</v>
      </c>
      <c r="CZ991">
        <v>0</v>
      </c>
      <c r="DA991">
        <v>1</v>
      </c>
      <c r="DB991">
        <v>0</v>
      </c>
      <c r="DC991">
        <v>0</v>
      </c>
      <c r="DD991">
        <v>1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"12/16/2021 14:46:56.702"</f>
        <v>12/16/2021 14:46:56.702</v>
      </c>
      <c r="C992" t="str">
        <f t="shared" si="46"/>
        <v>FFDFD3C0</v>
      </c>
      <c r="D992" t="s">
        <v>113</v>
      </c>
      <c r="E992">
        <v>8</v>
      </c>
      <c r="H992">
        <v>176</v>
      </c>
      <c r="I992" t="s">
        <v>114</v>
      </c>
      <c r="J992" t="s">
        <v>115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"14:46:56.500"</f>
        <v>14:46:56.500</v>
      </c>
      <c r="T992" t="str">
        <f>"14:46:56.100"</f>
        <v>14:46:56.100</v>
      </c>
      <c r="U992" t="str">
        <f t="shared" si="45"/>
        <v>A0F928</v>
      </c>
      <c r="V992">
        <v>0</v>
      </c>
      <c r="W992">
        <v>0</v>
      </c>
      <c r="X992">
        <v>2</v>
      </c>
      <c r="Z992">
        <v>0</v>
      </c>
      <c r="AA992">
        <v>9</v>
      </c>
      <c r="AB992">
        <v>3</v>
      </c>
      <c r="AC992">
        <v>0</v>
      </c>
      <c r="AD992">
        <v>10</v>
      </c>
      <c r="AE992">
        <v>0</v>
      </c>
      <c r="AF992">
        <v>3</v>
      </c>
      <c r="AG992">
        <v>2</v>
      </c>
      <c r="AH992">
        <v>1</v>
      </c>
      <c r="AI992" t="s">
        <v>591</v>
      </c>
      <c r="AJ992">
        <v>35.829635000000003</v>
      </c>
      <c r="AK992" t="s">
        <v>587</v>
      </c>
      <c r="AL992">
        <v>-83.941748000000004</v>
      </c>
      <c r="AM992">
        <v>25</v>
      </c>
      <c r="AN992">
        <v>1450</v>
      </c>
      <c r="AO992" t="s">
        <v>118</v>
      </c>
      <c r="AP992">
        <v>-12</v>
      </c>
      <c r="AQ992">
        <v>115</v>
      </c>
      <c r="AR992">
        <v>-640</v>
      </c>
      <c r="AZ992">
        <v>300</v>
      </c>
      <c r="BA992">
        <v>1</v>
      </c>
      <c r="BB992" t="str">
        <f t="shared" si="47"/>
        <v xml:space="preserve">N162AM  </v>
      </c>
      <c r="BC992">
        <v>1</v>
      </c>
      <c r="BE992">
        <v>0</v>
      </c>
      <c r="BF992">
        <v>0</v>
      </c>
      <c r="BG992">
        <v>0</v>
      </c>
      <c r="BH992">
        <v>1700</v>
      </c>
      <c r="BI992">
        <v>1</v>
      </c>
      <c r="BJ992">
        <v>1</v>
      </c>
      <c r="BK992">
        <v>1</v>
      </c>
      <c r="BL992">
        <v>0</v>
      </c>
      <c r="BO992">
        <v>0</v>
      </c>
      <c r="BP992">
        <v>0</v>
      </c>
      <c r="BW992" t="str">
        <f>"14:46:56.501"</f>
        <v>14:46:56.501</v>
      </c>
      <c r="CJ992">
        <v>3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232</v>
      </c>
      <c r="CR992">
        <v>2</v>
      </c>
      <c r="CW992">
        <v>6414270</v>
      </c>
      <c r="CY992">
        <v>1</v>
      </c>
      <c r="CZ992">
        <v>0</v>
      </c>
      <c r="DA992">
        <v>1</v>
      </c>
      <c r="DB992">
        <v>0</v>
      </c>
      <c r="DC992">
        <v>0</v>
      </c>
      <c r="DD992">
        <v>1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"12/16/2021 14:46:58.139"</f>
        <v>12/16/2021 14:46:58.139</v>
      </c>
      <c r="C993" t="str">
        <f t="shared" si="46"/>
        <v>FFDFD3C0</v>
      </c>
      <c r="D993" t="s">
        <v>124</v>
      </c>
      <c r="E993">
        <v>10</v>
      </c>
      <c r="F993">
        <v>1010</v>
      </c>
      <c r="G993" t="s">
        <v>130</v>
      </c>
      <c r="J993" t="s">
        <v>125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"14:46:57.891"</f>
        <v>14:46:57.891</v>
      </c>
      <c r="T993" t="str">
        <f>"14:46:57.491"</f>
        <v>14:46:57.491</v>
      </c>
      <c r="U993" t="str">
        <f t="shared" si="45"/>
        <v>A0F928</v>
      </c>
      <c r="V993">
        <v>0</v>
      </c>
      <c r="W993">
        <v>0</v>
      </c>
      <c r="X993">
        <v>2</v>
      </c>
      <c r="Z993">
        <v>0</v>
      </c>
      <c r="AA993">
        <v>9</v>
      </c>
      <c r="AB993">
        <v>3</v>
      </c>
      <c r="AC993">
        <v>0</v>
      </c>
      <c r="AD993">
        <v>10</v>
      </c>
      <c r="AE993">
        <v>0</v>
      </c>
      <c r="AF993">
        <v>0</v>
      </c>
      <c r="AG993">
        <v>2</v>
      </c>
      <c r="AH993">
        <v>1</v>
      </c>
      <c r="AI993" t="s">
        <v>592</v>
      </c>
      <c r="AJ993">
        <v>35.830364000000003</v>
      </c>
      <c r="AK993" t="s">
        <v>593</v>
      </c>
      <c r="AL993">
        <v>-83.941984000000005</v>
      </c>
      <c r="AM993">
        <v>25</v>
      </c>
      <c r="AN993">
        <v>1425</v>
      </c>
      <c r="AO993" t="s">
        <v>118</v>
      </c>
      <c r="AP993">
        <v>-22</v>
      </c>
      <c r="AQ993">
        <v>113</v>
      </c>
      <c r="AR993">
        <v>-768</v>
      </c>
      <c r="AZ993">
        <v>300</v>
      </c>
      <c r="BA993">
        <v>1</v>
      </c>
      <c r="BB993" t="str">
        <f t="shared" si="47"/>
        <v xml:space="preserve">N162AM  </v>
      </c>
      <c r="BC993">
        <v>1</v>
      </c>
      <c r="BE993">
        <v>0</v>
      </c>
      <c r="BF993">
        <v>0</v>
      </c>
      <c r="BG993">
        <v>0</v>
      </c>
      <c r="BH993">
        <v>1700</v>
      </c>
      <c r="BI993">
        <v>1</v>
      </c>
      <c r="BJ993">
        <v>1</v>
      </c>
      <c r="BK993">
        <v>1</v>
      </c>
      <c r="BL993">
        <v>0</v>
      </c>
      <c r="BO993">
        <v>0</v>
      </c>
      <c r="BP993">
        <v>0</v>
      </c>
      <c r="BW993" t="str">
        <f>"14:46:57.897"</f>
        <v>14:46:57.897</v>
      </c>
      <c r="CJ993">
        <v>2</v>
      </c>
      <c r="CK993">
        <v>2</v>
      </c>
      <c r="CL993">
        <v>0</v>
      </c>
      <c r="CM993">
        <v>2</v>
      </c>
      <c r="CN993">
        <v>0</v>
      </c>
      <c r="CO993">
        <v>7</v>
      </c>
      <c r="CP993" t="s">
        <v>119</v>
      </c>
      <c r="CQ993">
        <v>232</v>
      </c>
      <c r="CR993">
        <v>1</v>
      </c>
      <c r="CW993">
        <v>15224326</v>
      </c>
      <c r="CY993">
        <v>1</v>
      </c>
      <c r="CZ993">
        <v>0</v>
      </c>
      <c r="DA993">
        <v>0</v>
      </c>
      <c r="DB993">
        <v>0</v>
      </c>
      <c r="DC993">
        <v>0</v>
      </c>
      <c r="DD993">
        <v>1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"12/16/2021 14:46:58.139"</f>
        <v>12/16/2021 14:46:58.139</v>
      </c>
      <c r="C994" t="str">
        <f t="shared" si="46"/>
        <v>FFDFD3C0</v>
      </c>
      <c r="D994" t="s">
        <v>133</v>
      </c>
      <c r="E994">
        <v>44</v>
      </c>
      <c r="H994">
        <v>131</v>
      </c>
      <c r="I994" t="s">
        <v>134</v>
      </c>
      <c r="J994" t="s">
        <v>135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"14:46:57.891"</f>
        <v>14:46:57.891</v>
      </c>
      <c r="T994" t="str">
        <f>"14:46:57.491"</f>
        <v>14:46:57.491</v>
      </c>
      <c r="U994" t="str">
        <f t="shared" si="45"/>
        <v>A0F928</v>
      </c>
      <c r="V994">
        <v>0</v>
      </c>
      <c r="W994">
        <v>0</v>
      </c>
      <c r="X994">
        <v>2</v>
      </c>
      <c r="Z994">
        <v>0</v>
      </c>
      <c r="AA994">
        <v>9</v>
      </c>
      <c r="AB994">
        <v>3</v>
      </c>
      <c r="AC994">
        <v>0</v>
      </c>
      <c r="AD994">
        <v>10</v>
      </c>
      <c r="AE994">
        <v>0</v>
      </c>
      <c r="AF994">
        <v>3</v>
      </c>
      <c r="AG994">
        <v>2</v>
      </c>
      <c r="AH994">
        <v>1</v>
      </c>
      <c r="AI994" t="s">
        <v>592</v>
      </c>
      <c r="AJ994">
        <v>35.830364000000003</v>
      </c>
      <c r="AK994" t="s">
        <v>593</v>
      </c>
      <c r="AL994">
        <v>-83.941984000000005</v>
      </c>
      <c r="AM994">
        <v>25</v>
      </c>
      <c r="AN994">
        <v>1425</v>
      </c>
      <c r="AO994" t="s">
        <v>118</v>
      </c>
      <c r="AP994">
        <v>-22</v>
      </c>
      <c r="AQ994">
        <v>113</v>
      </c>
      <c r="AR994">
        <v>-768</v>
      </c>
      <c r="AZ994">
        <v>300</v>
      </c>
      <c r="BA994">
        <v>1</v>
      </c>
      <c r="BB994" t="str">
        <f t="shared" si="47"/>
        <v xml:space="preserve">N162AM  </v>
      </c>
      <c r="BC994">
        <v>1</v>
      </c>
      <c r="BE994">
        <v>0</v>
      </c>
      <c r="BF994">
        <v>0</v>
      </c>
      <c r="BG994">
        <v>0</v>
      </c>
      <c r="BH994">
        <v>1700</v>
      </c>
      <c r="BI994">
        <v>1</v>
      </c>
      <c r="BJ994">
        <v>1</v>
      </c>
      <c r="BK994">
        <v>1</v>
      </c>
      <c r="BL994">
        <v>0</v>
      </c>
      <c r="BO994">
        <v>0</v>
      </c>
      <c r="BP994">
        <v>0</v>
      </c>
      <c r="BW994" t="str">
        <f>"14:46:57.897"</f>
        <v>14:46:57.897</v>
      </c>
      <c r="CJ994">
        <v>3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232</v>
      </c>
      <c r="CR994">
        <v>1</v>
      </c>
      <c r="CW994">
        <v>15224326</v>
      </c>
      <c r="CY994">
        <v>1</v>
      </c>
      <c r="CZ994">
        <v>0</v>
      </c>
      <c r="DA994">
        <v>1</v>
      </c>
      <c r="DB994">
        <v>0</v>
      </c>
      <c r="DC994">
        <v>0</v>
      </c>
      <c r="DD994">
        <v>1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"12/16/2021 14:46:58.139"</f>
        <v>12/16/2021 14:46:58.139</v>
      </c>
      <c r="C995" t="str">
        <f t="shared" si="46"/>
        <v>FFDFD3C0</v>
      </c>
      <c r="D995" t="s">
        <v>113</v>
      </c>
      <c r="E995">
        <v>8</v>
      </c>
      <c r="H995">
        <v>176</v>
      </c>
      <c r="I995" t="s">
        <v>114</v>
      </c>
      <c r="J995" t="s">
        <v>115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"14:46:57.891"</f>
        <v>14:46:57.891</v>
      </c>
      <c r="T995" t="str">
        <f>"14:46:57.491"</f>
        <v>14:46:57.491</v>
      </c>
      <c r="U995" t="str">
        <f t="shared" si="45"/>
        <v>A0F928</v>
      </c>
      <c r="V995">
        <v>0</v>
      </c>
      <c r="W995">
        <v>0</v>
      </c>
      <c r="X995">
        <v>2</v>
      </c>
      <c r="Z995">
        <v>0</v>
      </c>
      <c r="AA995">
        <v>9</v>
      </c>
      <c r="AB995">
        <v>3</v>
      </c>
      <c r="AC995">
        <v>0</v>
      </c>
      <c r="AD995">
        <v>10</v>
      </c>
      <c r="AE995">
        <v>0</v>
      </c>
      <c r="AF995">
        <v>3</v>
      </c>
      <c r="AG995">
        <v>2</v>
      </c>
      <c r="AH995">
        <v>1</v>
      </c>
      <c r="AI995" t="s">
        <v>592</v>
      </c>
      <c r="AJ995">
        <v>35.830364000000003</v>
      </c>
      <c r="AK995" t="s">
        <v>593</v>
      </c>
      <c r="AL995">
        <v>-83.941984000000005</v>
      </c>
      <c r="AM995">
        <v>25</v>
      </c>
      <c r="AN995">
        <v>1425</v>
      </c>
      <c r="AO995" t="s">
        <v>118</v>
      </c>
      <c r="AP995">
        <v>-22</v>
      </c>
      <c r="AQ995">
        <v>113</v>
      </c>
      <c r="AR995">
        <v>-768</v>
      </c>
      <c r="AZ995">
        <v>300</v>
      </c>
      <c r="BA995">
        <v>1</v>
      </c>
      <c r="BB995" t="str">
        <f t="shared" si="47"/>
        <v xml:space="preserve">N162AM  </v>
      </c>
      <c r="BC995">
        <v>1</v>
      </c>
      <c r="BE995">
        <v>0</v>
      </c>
      <c r="BF995">
        <v>0</v>
      </c>
      <c r="BG995">
        <v>0</v>
      </c>
      <c r="BH995">
        <v>1700</v>
      </c>
      <c r="BI995">
        <v>1</v>
      </c>
      <c r="BJ995">
        <v>1</v>
      </c>
      <c r="BK995">
        <v>1</v>
      </c>
      <c r="BL995">
        <v>0</v>
      </c>
      <c r="BO995">
        <v>0</v>
      </c>
      <c r="BP995">
        <v>0</v>
      </c>
      <c r="BW995" t="str">
        <f>"14:46:57.897"</f>
        <v>14:46:57.897</v>
      </c>
      <c r="CJ995">
        <v>3</v>
      </c>
      <c r="CK995">
        <v>2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232</v>
      </c>
      <c r="CR995">
        <v>1</v>
      </c>
      <c r="CW995">
        <v>15224326</v>
      </c>
      <c r="CY995">
        <v>1</v>
      </c>
      <c r="CZ995">
        <v>0</v>
      </c>
      <c r="DA995">
        <v>1</v>
      </c>
      <c r="DB995">
        <v>0</v>
      </c>
      <c r="DC995">
        <v>0</v>
      </c>
      <c r="DD995">
        <v>1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"12/16/2021 14:46:58.139"</f>
        <v>12/16/2021 14:46:58.139</v>
      </c>
      <c r="C996" t="str">
        <f t="shared" si="46"/>
        <v>FFDFD3C0</v>
      </c>
      <c r="D996" t="s">
        <v>124</v>
      </c>
      <c r="E996">
        <v>5</v>
      </c>
      <c r="F996">
        <v>1005</v>
      </c>
      <c r="G996" t="s">
        <v>114</v>
      </c>
      <c r="J996" t="s">
        <v>125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"14:46:57.891"</f>
        <v>14:46:57.891</v>
      </c>
      <c r="T996" t="str">
        <f>"14:46:57.491"</f>
        <v>14:46:57.491</v>
      </c>
      <c r="U996" t="str">
        <f t="shared" si="45"/>
        <v>A0F928</v>
      </c>
      <c r="V996">
        <v>0</v>
      </c>
      <c r="W996">
        <v>0</v>
      </c>
      <c r="X996">
        <v>2</v>
      </c>
      <c r="Z996">
        <v>0</v>
      </c>
      <c r="AA996">
        <v>9</v>
      </c>
      <c r="AB996">
        <v>3</v>
      </c>
      <c r="AC996">
        <v>0</v>
      </c>
      <c r="AD996">
        <v>10</v>
      </c>
      <c r="AE996">
        <v>0</v>
      </c>
      <c r="AF996">
        <v>3</v>
      </c>
      <c r="AG996">
        <v>2</v>
      </c>
      <c r="AH996">
        <v>1</v>
      </c>
      <c r="AI996" t="s">
        <v>592</v>
      </c>
      <c r="AJ996">
        <v>35.830364000000003</v>
      </c>
      <c r="AK996" t="s">
        <v>593</v>
      </c>
      <c r="AL996">
        <v>-83.941984000000005</v>
      </c>
      <c r="AM996">
        <v>25</v>
      </c>
      <c r="AN996">
        <v>1425</v>
      </c>
      <c r="AO996" t="s">
        <v>118</v>
      </c>
      <c r="AP996">
        <v>-22</v>
      </c>
      <c r="AQ996">
        <v>113</v>
      </c>
      <c r="AR996">
        <v>-768</v>
      </c>
      <c r="AZ996">
        <v>300</v>
      </c>
      <c r="BA996">
        <v>1</v>
      </c>
      <c r="BB996" t="str">
        <f t="shared" si="47"/>
        <v xml:space="preserve">N162AM  </v>
      </c>
      <c r="BC996">
        <v>1</v>
      </c>
      <c r="BE996">
        <v>0</v>
      </c>
      <c r="BF996">
        <v>0</v>
      </c>
      <c r="BG996">
        <v>0</v>
      </c>
      <c r="BH996">
        <v>1700</v>
      </c>
      <c r="BI996">
        <v>1</v>
      </c>
      <c r="BJ996">
        <v>1</v>
      </c>
      <c r="BK996">
        <v>1</v>
      </c>
      <c r="BL996">
        <v>0</v>
      </c>
      <c r="BO996">
        <v>0</v>
      </c>
      <c r="BP996">
        <v>0</v>
      </c>
      <c r="BW996" t="str">
        <f>"14:46:57.897"</f>
        <v>14:46:57.897</v>
      </c>
      <c r="CJ996">
        <v>3</v>
      </c>
      <c r="CK996">
        <v>2</v>
      </c>
      <c r="CL996">
        <v>0</v>
      </c>
      <c r="CM996">
        <v>2</v>
      </c>
      <c r="CN996">
        <v>0</v>
      </c>
      <c r="CO996">
        <v>7</v>
      </c>
      <c r="CP996" t="s">
        <v>119</v>
      </c>
      <c r="CQ996">
        <v>232</v>
      </c>
      <c r="CR996">
        <v>1</v>
      </c>
      <c r="CW996">
        <v>15224326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1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"12/16/2021 14:46:59.140"</f>
        <v>12/16/2021 14:46:59.140</v>
      </c>
      <c r="C997" t="str">
        <f t="shared" si="46"/>
        <v>FFDFD3C0</v>
      </c>
      <c r="D997" t="s">
        <v>113</v>
      </c>
      <c r="E997">
        <v>8</v>
      </c>
      <c r="H997">
        <v>176</v>
      </c>
      <c r="I997" t="s">
        <v>114</v>
      </c>
      <c r="J997" t="s">
        <v>115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"14:46:58.938"</f>
        <v>14:46:58.938</v>
      </c>
      <c r="T997" t="str">
        <f>"14:46:58.438"</f>
        <v>14:46:58.438</v>
      </c>
      <c r="U997" t="str">
        <f t="shared" si="45"/>
        <v>A0F928</v>
      </c>
      <c r="V997">
        <v>0</v>
      </c>
      <c r="W997">
        <v>0</v>
      </c>
      <c r="X997">
        <v>2</v>
      </c>
      <c r="Z997">
        <v>0</v>
      </c>
      <c r="AA997">
        <v>9</v>
      </c>
      <c r="AB997">
        <v>3</v>
      </c>
      <c r="AC997">
        <v>0</v>
      </c>
      <c r="AD997">
        <v>10</v>
      </c>
      <c r="AE997">
        <v>0</v>
      </c>
      <c r="AF997">
        <v>3</v>
      </c>
      <c r="AG997">
        <v>2</v>
      </c>
      <c r="AH997">
        <v>1</v>
      </c>
      <c r="AI997" t="s">
        <v>594</v>
      </c>
      <c r="AJ997">
        <v>35.830879000000003</v>
      </c>
      <c r="AK997" t="s">
        <v>595</v>
      </c>
      <c r="AL997">
        <v>-83.942155999999997</v>
      </c>
      <c r="AM997">
        <v>25</v>
      </c>
      <c r="AN997">
        <v>1425</v>
      </c>
      <c r="AO997" t="s">
        <v>118</v>
      </c>
      <c r="AP997">
        <v>-31</v>
      </c>
      <c r="AQ997">
        <v>110</v>
      </c>
      <c r="AR997">
        <v>-832</v>
      </c>
      <c r="AZ997">
        <v>300</v>
      </c>
      <c r="BA997">
        <v>1</v>
      </c>
      <c r="BB997" t="str">
        <f t="shared" si="47"/>
        <v xml:space="preserve">N162AM  </v>
      </c>
      <c r="BC997">
        <v>1</v>
      </c>
      <c r="BE997">
        <v>0</v>
      </c>
      <c r="BF997">
        <v>0</v>
      </c>
      <c r="BG997">
        <v>0</v>
      </c>
      <c r="BH997">
        <v>1700</v>
      </c>
      <c r="BI997">
        <v>1</v>
      </c>
      <c r="BJ997">
        <v>1</v>
      </c>
      <c r="BK997">
        <v>1</v>
      </c>
      <c r="BL997">
        <v>0</v>
      </c>
      <c r="BO997">
        <v>0</v>
      </c>
      <c r="BP997">
        <v>0</v>
      </c>
      <c r="BW997" t="str">
        <f>"14:46:58.939"</f>
        <v>14:46:58.939</v>
      </c>
      <c r="CJ997">
        <v>3</v>
      </c>
      <c r="CK997">
        <v>2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232</v>
      </c>
      <c r="CR997">
        <v>2</v>
      </c>
      <c r="CW997">
        <v>6417953</v>
      </c>
      <c r="CY997">
        <v>1</v>
      </c>
      <c r="CZ997">
        <v>0</v>
      </c>
      <c r="DA997">
        <v>0</v>
      </c>
      <c r="DB997">
        <v>0</v>
      </c>
      <c r="DC997">
        <v>0</v>
      </c>
      <c r="DD997">
        <v>1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"12/16/2021 14:46:59.140"</f>
        <v>12/16/2021 14:46:59.140</v>
      </c>
      <c r="C998" t="str">
        <f t="shared" si="46"/>
        <v>FFDFD3C0</v>
      </c>
      <c r="D998" t="s">
        <v>124</v>
      </c>
      <c r="E998">
        <v>5</v>
      </c>
      <c r="F998">
        <v>1005</v>
      </c>
      <c r="G998" t="s">
        <v>114</v>
      </c>
      <c r="J998" t="s">
        <v>125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"14:46:58.938"</f>
        <v>14:46:58.938</v>
      </c>
      <c r="T998" t="str">
        <f>"14:46:58.438"</f>
        <v>14:46:58.438</v>
      </c>
      <c r="U998" t="str">
        <f t="shared" si="45"/>
        <v>A0F928</v>
      </c>
      <c r="V998">
        <v>0</v>
      </c>
      <c r="W998">
        <v>0</v>
      </c>
      <c r="X998">
        <v>2</v>
      </c>
      <c r="Z998">
        <v>0</v>
      </c>
      <c r="AA998">
        <v>9</v>
      </c>
      <c r="AB998">
        <v>3</v>
      </c>
      <c r="AC998">
        <v>0</v>
      </c>
      <c r="AD998">
        <v>10</v>
      </c>
      <c r="AE998">
        <v>0</v>
      </c>
      <c r="AF998">
        <v>3</v>
      </c>
      <c r="AG998">
        <v>2</v>
      </c>
      <c r="AH998">
        <v>1</v>
      </c>
      <c r="AI998" t="s">
        <v>594</v>
      </c>
      <c r="AJ998">
        <v>35.830879000000003</v>
      </c>
      <c r="AK998" t="s">
        <v>595</v>
      </c>
      <c r="AL998">
        <v>-83.942155999999997</v>
      </c>
      <c r="AM998">
        <v>25</v>
      </c>
      <c r="AN998">
        <v>1425</v>
      </c>
      <c r="AO998" t="s">
        <v>118</v>
      </c>
      <c r="AP998">
        <v>-31</v>
      </c>
      <c r="AQ998">
        <v>110</v>
      </c>
      <c r="AR998">
        <v>-832</v>
      </c>
      <c r="AZ998">
        <v>300</v>
      </c>
      <c r="BA998">
        <v>1</v>
      </c>
      <c r="BB998" t="str">
        <f t="shared" si="47"/>
        <v xml:space="preserve">N162AM  </v>
      </c>
      <c r="BC998">
        <v>1</v>
      </c>
      <c r="BE998">
        <v>0</v>
      </c>
      <c r="BF998">
        <v>0</v>
      </c>
      <c r="BG998">
        <v>0</v>
      </c>
      <c r="BH998">
        <v>1700</v>
      </c>
      <c r="BI998">
        <v>1</v>
      </c>
      <c r="BJ998">
        <v>1</v>
      </c>
      <c r="BK998">
        <v>1</v>
      </c>
      <c r="BL998">
        <v>0</v>
      </c>
      <c r="BO998">
        <v>0</v>
      </c>
      <c r="BP998">
        <v>0</v>
      </c>
      <c r="BW998" t="str">
        <f>"14:46:58.939"</f>
        <v>14:46:58.939</v>
      </c>
      <c r="CJ998">
        <v>3</v>
      </c>
      <c r="CK998">
        <v>2</v>
      </c>
      <c r="CL998">
        <v>0</v>
      </c>
      <c r="CM998">
        <v>2</v>
      </c>
      <c r="CN998">
        <v>0</v>
      </c>
      <c r="CO998">
        <v>7</v>
      </c>
      <c r="CP998" t="s">
        <v>119</v>
      </c>
      <c r="CQ998">
        <v>232</v>
      </c>
      <c r="CR998">
        <v>2</v>
      </c>
      <c r="CW998">
        <v>6417953</v>
      </c>
      <c r="CY998">
        <v>1</v>
      </c>
      <c r="CZ998">
        <v>0</v>
      </c>
      <c r="DA998">
        <v>1</v>
      </c>
      <c r="DB998">
        <v>0</v>
      </c>
      <c r="DC998">
        <v>0</v>
      </c>
      <c r="DD998">
        <v>1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"12/16/2021 14:46:59.155"</f>
        <v>12/16/2021 14:46:59.155</v>
      </c>
      <c r="C999" t="str">
        <f t="shared" si="46"/>
        <v>FFDFD3C0</v>
      </c>
      <c r="D999" t="s">
        <v>124</v>
      </c>
      <c r="E999">
        <v>10</v>
      </c>
      <c r="F999">
        <v>1010</v>
      </c>
      <c r="G999" t="s">
        <v>130</v>
      </c>
      <c r="J999" t="s">
        <v>125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"14:46:58.938"</f>
        <v>14:46:58.938</v>
      </c>
      <c r="T999" t="str">
        <f>"14:46:58.438"</f>
        <v>14:46:58.438</v>
      </c>
      <c r="U999" t="str">
        <f t="shared" si="45"/>
        <v>A0F928</v>
      </c>
      <c r="V999">
        <v>0</v>
      </c>
      <c r="W999">
        <v>0</v>
      </c>
      <c r="X999">
        <v>2</v>
      </c>
      <c r="Z999">
        <v>0</v>
      </c>
      <c r="AA999">
        <v>9</v>
      </c>
      <c r="AB999">
        <v>3</v>
      </c>
      <c r="AC999">
        <v>0</v>
      </c>
      <c r="AD999">
        <v>10</v>
      </c>
      <c r="AE999">
        <v>0</v>
      </c>
      <c r="AF999">
        <v>0</v>
      </c>
      <c r="AG999">
        <v>2</v>
      </c>
      <c r="AH999">
        <v>1</v>
      </c>
      <c r="AI999" t="s">
        <v>594</v>
      </c>
      <c r="AJ999">
        <v>35.830879000000003</v>
      </c>
      <c r="AK999" t="s">
        <v>595</v>
      </c>
      <c r="AL999">
        <v>-83.942155999999997</v>
      </c>
      <c r="AM999">
        <v>25</v>
      </c>
      <c r="AN999">
        <v>1425</v>
      </c>
      <c r="AO999" t="s">
        <v>118</v>
      </c>
      <c r="AP999">
        <v>-31</v>
      </c>
      <c r="AQ999">
        <v>110</v>
      </c>
      <c r="AR999">
        <v>-832</v>
      </c>
      <c r="AZ999">
        <v>300</v>
      </c>
      <c r="BA999">
        <v>1</v>
      </c>
      <c r="BB999" t="str">
        <f t="shared" si="47"/>
        <v xml:space="preserve">N162AM  </v>
      </c>
      <c r="BC999">
        <v>1</v>
      </c>
      <c r="BE999">
        <v>0</v>
      </c>
      <c r="BF999">
        <v>0</v>
      </c>
      <c r="BG999">
        <v>0</v>
      </c>
      <c r="BH999">
        <v>1700</v>
      </c>
      <c r="BI999">
        <v>1</v>
      </c>
      <c r="BJ999">
        <v>1</v>
      </c>
      <c r="BK999">
        <v>1</v>
      </c>
      <c r="BL999">
        <v>0</v>
      </c>
      <c r="BO999">
        <v>0</v>
      </c>
      <c r="BP999">
        <v>0</v>
      </c>
      <c r="BW999" t="str">
        <f>"14:46:58.939"</f>
        <v>14:46:58.939</v>
      </c>
      <c r="CJ999">
        <v>2</v>
      </c>
      <c r="CK999">
        <v>2</v>
      </c>
      <c r="CL999">
        <v>0</v>
      </c>
      <c r="CM999">
        <v>2</v>
      </c>
      <c r="CN999">
        <v>0</v>
      </c>
      <c r="CO999">
        <v>7</v>
      </c>
      <c r="CP999" t="s">
        <v>119</v>
      </c>
      <c r="CQ999">
        <v>232</v>
      </c>
      <c r="CR999">
        <v>2</v>
      </c>
      <c r="CW999">
        <v>6417953</v>
      </c>
      <c r="CY999">
        <v>1</v>
      </c>
      <c r="CZ999">
        <v>0</v>
      </c>
      <c r="DA999">
        <v>1</v>
      </c>
      <c r="DB999">
        <v>0</v>
      </c>
      <c r="DC999">
        <v>0</v>
      </c>
      <c r="DD999">
        <v>1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"12/16/2021 14:46:59.234"</f>
        <v>12/16/2021 14:46:59.234</v>
      </c>
      <c r="C1000" t="str">
        <f t="shared" si="46"/>
        <v>FFDFD3C0</v>
      </c>
      <c r="D1000" t="s">
        <v>133</v>
      </c>
      <c r="E1000">
        <v>44</v>
      </c>
      <c r="H1000">
        <v>131</v>
      </c>
      <c r="I1000" t="s">
        <v>134</v>
      </c>
      <c r="J1000" t="s">
        <v>135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"14:46:58.938"</f>
        <v>14:46:58.938</v>
      </c>
      <c r="T1000" t="str">
        <f>"14:46:58.438"</f>
        <v>14:46:58.438</v>
      </c>
      <c r="U1000" t="str">
        <f t="shared" si="45"/>
        <v>A0F928</v>
      </c>
      <c r="V1000">
        <v>0</v>
      </c>
      <c r="W1000">
        <v>0</v>
      </c>
      <c r="X1000">
        <v>2</v>
      </c>
      <c r="Z1000">
        <v>0</v>
      </c>
      <c r="AA1000">
        <v>9</v>
      </c>
      <c r="AB1000">
        <v>3</v>
      </c>
      <c r="AC1000">
        <v>0</v>
      </c>
      <c r="AD1000">
        <v>10</v>
      </c>
      <c r="AE1000">
        <v>0</v>
      </c>
      <c r="AF1000">
        <v>3</v>
      </c>
      <c r="AG1000">
        <v>2</v>
      </c>
      <c r="AH1000">
        <v>1</v>
      </c>
      <c r="AI1000" t="s">
        <v>594</v>
      </c>
      <c r="AJ1000">
        <v>35.830879000000003</v>
      </c>
      <c r="AK1000" t="s">
        <v>595</v>
      </c>
      <c r="AL1000">
        <v>-83.942155999999997</v>
      </c>
      <c r="AM1000">
        <v>25</v>
      </c>
      <c r="AN1000">
        <v>1425</v>
      </c>
      <c r="AO1000" t="s">
        <v>118</v>
      </c>
      <c r="AP1000">
        <v>-31</v>
      </c>
      <c r="AQ1000">
        <v>110</v>
      </c>
      <c r="AR1000">
        <v>-832</v>
      </c>
      <c r="AZ1000">
        <v>300</v>
      </c>
      <c r="BA1000">
        <v>1</v>
      </c>
      <c r="BB1000" t="str">
        <f t="shared" si="47"/>
        <v xml:space="preserve">N162AM  </v>
      </c>
      <c r="BC1000">
        <v>1</v>
      </c>
      <c r="BE1000">
        <v>0</v>
      </c>
      <c r="BF1000">
        <v>0</v>
      </c>
      <c r="BG1000">
        <v>0</v>
      </c>
      <c r="BH1000">
        <v>1700</v>
      </c>
      <c r="BI1000">
        <v>1</v>
      </c>
      <c r="BJ1000">
        <v>1</v>
      </c>
      <c r="BK1000">
        <v>1</v>
      </c>
      <c r="BL1000">
        <v>0</v>
      </c>
      <c r="BO1000">
        <v>0</v>
      </c>
      <c r="BP1000">
        <v>0</v>
      </c>
      <c r="BW1000" t="str">
        <f>"14:46:58.939"</f>
        <v>14:46:58.939</v>
      </c>
      <c r="CJ1000">
        <v>3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232</v>
      </c>
      <c r="CR1000">
        <v>2</v>
      </c>
      <c r="CW1000">
        <v>6417953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1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"12/16/2021 14:47:00.459"</f>
        <v>12/16/2021 14:47:00.459</v>
      </c>
      <c r="C1001" t="str">
        <f t="shared" si="46"/>
        <v>FFDFD3C0</v>
      </c>
      <c r="D1001" t="s">
        <v>124</v>
      </c>
      <c r="E1001">
        <v>10</v>
      </c>
      <c r="F1001">
        <v>1010</v>
      </c>
      <c r="G1001" t="s">
        <v>130</v>
      </c>
      <c r="J1001" t="s">
        <v>125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"14:47:00.250"</f>
        <v>14:47:00.250</v>
      </c>
      <c r="T1001" t="str">
        <f>"14:46:59.850"</f>
        <v>14:46:59.850</v>
      </c>
      <c r="U1001" t="str">
        <f t="shared" si="45"/>
        <v>A0F928</v>
      </c>
      <c r="V1001">
        <v>0</v>
      </c>
      <c r="W1001">
        <v>0</v>
      </c>
      <c r="X1001">
        <v>2</v>
      </c>
      <c r="Z1001">
        <v>0</v>
      </c>
      <c r="AA1001">
        <v>9</v>
      </c>
      <c r="AB1001">
        <v>3</v>
      </c>
      <c r="AC1001">
        <v>0</v>
      </c>
      <c r="AD1001">
        <v>10</v>
      </c>
      <c r="AE1001">
        <v>0</v>
      </c>
      <c r="AF1001">
        <v>0</v>
      </c>
      <c r="AG1001">
        <v>2</v>
      </c>
      <c r="AH1001">
        <v>1</v>
      </c>
      <c r="AI1001" t="s">
        <v>596</v>
      </c>
      <c r="AJ1001">
        <v>35.831544000000001</v>
      </c>
      <c r="AK1001" t="s">
        <v>597</v>
      </c>
      <c r="AL1001">
        <v>-83.942498999999998</v>
      </c>
      <c r="AM1001">
        <v>25</v>
      </c>
      <c r="AN1001">
        <v>1400</v>
      </c>
      <c r="AO1001" t="s">
        <v>118</v>
      </c>
      <c r="AP1001">
        <v>-41</v>
      </c>
      <c r="AQ1001">
        <v>105</v>
      </c>
      <c r="AR1001">
        <v>-832</v>
      </c>
      <c r="AZ1001">
        <v>300</v>
      </c>
      <c r="BA1001">
        <v>1</v>
      </c>
      <c r="BB1001" t="str">
        <f t="shared" si="47"/>
        <v xml:space="preserve">N162AM  </v>
      </c>
      <c r="BC1001">
        <v>1</v>
      </c>
      <c r="BE1001">
        <v>0</v>
      </c>
      <c r="BF1001">
        <v>0</v>
      </c>
      <c r="BG1001">
        <v>0</v>
      </c>
      <c r="BH1001">
        <v>1675</v>
      </c>
      <c r="BI1001">
        <v>1</v>
      </c>
      <c r="BJ1001">
        <v>1</v>
      </c>
      <c r="BK1001">
        <v>1</v>
      </c>
      <c r="BL1001">
        <v>0</v>
      </c>
      <c r="BO1001">
        <v>0</v>
      </c>
      <c r="BP1001">
        <v>0</v>
      </c>
      <c r="BW1001" t="str">
        <f>"14:47:00.253"</f>
        <v>14:47:00.253</v>
      </c>
      <c r="CJ1001">
        <v>2</v>
      </c>
      <c r="CK1001">
        <v>2</v>
      </c>
      <c r="CL1001">
        <v>0</v>
      </c>
      <c r="CM1001">
        <v>2</v>
      </c>
      <c r="CN1001">
        <v>0</v>
      </c>
      <c r="CO1001">
        <v>7</v>
      </c>
      <c r="CP1001" t="s">
        <v>119</v>
      </c>
      <c r="CQ1001">
        <v>232</v>
      </c>
      <c r="CR1001">
        <v>1</v>
      </c>
      <c r="CW1001">
        <v>15227804</v>
      </c>
      <c r="CY1001">
        <v>1</v>
      </c>
      <c r="CZ1001">
        <v>0</v>
      </c>
      <c r="DA1001">
        <v>0</v>
      </c>
      <c r="DB1001">
        <v>0</v>
      </c>
      <c r="DC1001">
        <v>0</v>
      </c>
      <c r="DD1001">
        <v>1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"12/16/2021 14:47:00.491"</f>
        <v>12/16/2021 14:47:00.491</v>
      </c>
      <c r="C1002" t="str">
        <f t="shared" si="46"/>
        <v>FFDFD3C0</v>
      </c>
      <c r="D1002" t="s">
        <v>113</v>
      </c>
      <c r="E1002">
        <v>8</v>
      </c>
      <c r="H1002">
        <v>176</v>
      </c>
      <c r="I1002" t="s">
        <v>114</v>
      </c>
      <c r="J1002" t="s">
        <v>115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"14:47:00.250"</f>
        <v>14:47:00.250</v>
      </c>
      <c r="T1002" t="str">
        <f>"14:46:59.850"</f>
        <v>14:46:59.850</v>
      </c>
      <c r="U1002" t="str">
        <f t="shared" si="45"/>
        <v>A0F928</v>
      </c>
      <c r="V1002">
        <v>0</v>
      </c>
      <c r="W1002">
        <v>0</v>
      </c>
      <c r="X1002">
        <v>2</v>
      </c>
      <c r="Z1002">
        <v>0</v>
      </c>
      <c r="AA1002">
        <v>9</v>
      </c>
      <c r="AB1002">
        <v>3</v>
      </c>
      <c r="AC1002">
        <v>0</v>
      </c>
      <c r="AD1002">
        <v>10</v>
      </c>
      <c r="AE1002">
        <v>0</v>
      </c>
      <c r="AF1002">
        <v>3</v>
      </c>
      <c r="AG1002">
        <v>2</v>
      </c>
      <c r="AH1002">
        <v>1</v>
      </c>
      <c r="AI1002" t="s">
        <v>596</v>
      </c>
      <c r="AJ1002">
        <v>35.831544000000001</v>
      </c>
      <c r="AK1002" t="s">
        <v>597</v>
      </c>
      <c r="AL1002">
        <v>-83.942498999999998</v>
      </c>
      <c r="AM1002">
        <v>25</v>
      </c>
      <c r="AN1002">
        <v>1400</v>
      </c>
      <c r="AO1002" t="s">
        <v>118</v>
      </c>
      <c r="AP1002">
        <v>-41</v>
      </c>
      <c r="AQ1002">
        <v>105</v>
      </c>
      <c r="AR1002">
        <v>-832</v>
      </c>
      <c r="AZ1002">
        <v>300</v>
      </c>
      <c r="BA1002">
        <v>1</v>
      </c>
      <c r="BB1002" t="str">
        <f t="shared" si="47"/>
        <v xml:space="preserve">N162AM  </v>
      </c>
      <c r="BC1002">
        <v>1</v>
      </c>
      <c r="BE1002">
        <v>0</v>
      </c>
      <c r="BF1002">
        <v>0</v>
      </c>
      <c r="BG1002">
        <v>0</v>
      </c>
      <c r="BH1002">
        <v>1675</v>
      </c>
      <c r="BI1002">
        <v>1</v>
      </c>
      <c r="BJ1002">
        <v>1</v>
      </c>
      <c r="BK1002">
        <v>1</v>
      </c>
      <c r="BL1002">
        <v>0</v>
      </c>
      <c r="BO1002">
        <v>0</v>
      </c>
      <c r="BP1002">
        <v>0</v>
      </c>
      <c r="BW1002" t="str">
        <f>"14:47:00.253"</f>
        <v>14:47:00.253</v>
      </c>
      <c r="CJ1002">
        <v>3</v>
      </c>
      <c r="CK1002">
        <v>2</v>
      </c>
      <c r="CL1002">
        <v>0</v>
      </c>
      <c r="CM1002">
        <v>2</v>
      </c>
      <c r="CN1002">
        <v>0</v>
      </c>
      <c r="CO1002">
        <v>7</v>
      </c>
      <c r="CP1002" t="s">
        <v>119</v>
      </c>
      <c r="CQ1002">
        <v>232</v>
      </c>
      <c r="CR1002">
        <v>1</v>
      </c>
      <c r="CW1002">
        <v>15227804</v>
      </c>
      <c r="CY1002">
        <v>1</v>
      </c>
      <c r="CZ1002">
        <v>0</v>
      </c>
      <c r="DA1002">
        <v>1</v>
      </c>
      <c r="DB1002">
        <v>0</v>
      </c>
      <c r="DC1002">
        <v>0</v>
      </c>
      <c r="DD1002">
        <v>1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"12/16/2021 14:47:00.491"</f>
        <v>12/16/2021 14:47:00.491</v>
      </c>
      <c r="C1003" t="str">
        <f t="shared" si="46"/>
        <v>FFDFD3C0</v>
      </c>
      <c r="D1003" t="s">
        <v>133</v>
      </c>
      <c r="E1003">
        <v>44</v>
      </c>
      <c r="H1003">
        <v>131</v>
      </c>
      <c r="I1003" t="s">
        <v>134</v>
      </c>
      <c r="J1003" t="s">
        <v>135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"14:47:00.250"</f>
        <v>14:47:00.250</v>
      </c>
      <c r="T1003" t="str">
        <f>"14:46:59.850"</f>
        <v>14:46:59.850</v>
      </c>
      <c r="U1003" t="str">
        <f t="shared" si="45"/>
        <v>A0F928</v>
      </c>
      <c r="V1003">
        <v>0</v>
      </c>
      <c r="W1003">
        <v>0</v>
      </c>
      <c r="X1003">
        <v>2</v>
      </c>
      <c r="Z1003">
        <v>0</v>
      </c>
      <c r="AA1003">
        <v>9</v>
      </c>
      <c r="AB1003">
        <v>3</v>
      </c>
      <c r="AC1003">
        <v>0</v>
      </c>
      <c r="AD1003">
        <v>10</v>
      </c>
      <c r="AE1003">
        <v>0</v>
      </c>
      <c r="AF1003">
        <v>3</v>
      </c>
      <c r="AG1003">
        <v>2</v>
      </c>
      <c r="AH1003">
        <v>1</v>
      </c>
      <c r="AI1003" t="s">
        <v>596</v>
      </c>
      <c r="AJ1003">
        <v>35.831544000000001</v>
      </c>
      <c r="AK1003" t="s">
        <v>597</v>
      </c>
      <c r="AL1003">
        <v>-83.942498999999998</v>
      </c>
      <c r="AM1003">
        <v>25</v>
      </c>
      <c r="AN1003">
        <v>1400</v>
      </c>
      <c r="AO1003" t="s">
        <v>118</v>
      </c>
      <c r="AP1003">
        <v>-41</v>
      </c>
      <c r="AQ1003">
        <v>105</v>
      </c>
      <c r="AR1003">
        <v>-832</v>
      </c>
      <c r="AZ1003">
        <v>300</v>
      </c>
      <c r="BA1003">
        <v>1</v>
      </c>
      <c r="BB1003" t="str">
        <f t="shared" si="47"/>
        <v xml:space="preserve">N162AM  </v>
      </c>
      <c r="BC1003">
        <v>1</v>
      </c>
      <c r="BE1003">
        <v>0</v>
      </c>
      <c r="BF1003">
        <v>0</v>
      </c>
      <c r="BG1003">
        <v>0</v>
      </c>
      <c r="BH1003">
        <v>1675</v>
      </c>
      <c r="BI1003">
        <v>1</v>
      </c>
      <c r="BJ1003">
        <v>1</v>
      </c>
      <c r="BK1003">
        <v>1</v>
      </c>
      <c r="BL1003">
        <v>0</v>
      </c>
      <c r="BO1003">
        <v>0</v>
      </c>
      <c r="BP1003">
        <v>0</v>
      </c>
      <c r="BW1003" t="str">
        <f>"14:47:00.253"</f>
        <v>14:47:00.253</v>
      </c>
      <c r="CJ1003">
        <v>3</v>
      </c>
      <c r="CK1003">
        <v>2</v>
      </c>
      <c r="CL1003">
        <v>0</v>
      </c>
      <c r="CM1003">
        <v>2</v>
      </c>
      <c r="CN1003">
        <v>0</v>
      </c>
      <c r="CO1003">
        <v>7</v>
      </c>
      <c r="CP1003" t="s">
        <v>119</v>
      </c>
      <c r="CQ1003">
        <v>232</v>
      </c>
      <c r="CR1003">
        <v>1</v>
      </c>
      <c r="CW1003">
        <v>15227804</v>
      </c>
      <c r="CY1003">
        <v>1</v>
      </c>
      <c r="CZ1003">
        <v>0</v>
      </c>
      <c r="DA1003">
        <v>1</v>
      </c>
      <c r="DB1003">
        <v>0</v>
      </c>
      <c r="DC1003">
        <v>0</v>
      </c>
      <c r="DD1003">
        <v>1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"12/16/2021 14:47:00.491"</f>
        <v>12/16/2021 14:47:00.491</v>
      </c>
      <c r="C1004" t="str">
        <f t="shared" si="46"/>
        <v>FFDFD3C0</v>
      </c>
      <c r="D1004" t="s">
        <v>124</v>
      </c>
      <c r="E1004">
        <v>5</v>
      </c>
      <c r="F1004">
        <v>1005</v>
      </c>
      <c r="G1004" t="s">
        <v>114</v>
      </c>
      <c r="J1004" t="s">
        <v>125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"14:47:00.250"</f>
        <v>14:47:00.250</v>
      </c>
      <c r="T1004" t="str">
        <f>"14:46:59.850"</f>
        <v>14:46:59.850</v>
      </c>
      <c r="U1004" t="str">
        <f t="shared" si="45"/>
        <v>A0F928</v>
      </c>
      <c r="V1004">
        <v>0</v>
      </c>
      <c r="W1004">
        <v>0</v>
      </c>
      <c r="X1004">
        <v>2</v>
      </c>
      <c r="Z1004">
        <v>0</v>
      </c>
      <c r="AA1004">
        <v>9</v>
      </c>
      <c r="AB1004">
        <v>3</v>
      </c>
      <c r="AC1004">
        <v>0</v>
      </c>
      <c r="AD1004">
        <v>10</v>
      </c>
      <c r="AE1004">
        <v>0</v>
      </c>
      <c r="AF1004">
        <v>3</v>
      </c>
      <c r="AG1004">
        <v>2</v>
      </c>
      <c r="AH1004">
        <v>1</v>
      </c>
      <c r="AI1004" t="s">
        <v>596</v>
      </c>
      <c r="AJ1004">
        <v>35.831544000000001</v>
      </c>
      <c r="AK1004" t="s">
        <v>597</v>
      </c>
      <c r="AL1004">
        <v>-83.942498999999998</v>
      </c>
      <c r="AM1004">
        <v>25</v>
      </c>
      <c r="AN1004">
        <v>1400</v>
      </c>
      <c r="AO1004" t="s">
        <v>118</v>
      </c>
      <c r="AP1004">
        <v>-41</v>
      </c>
      <c r="AQ1004">
        <v>105</v>
      </c>
      <c r="AR1004">
        <v>-832</v>
      </c>
      <c r="AZ1004">
        <v>300</v>
      </c>
      <c r="BA1004">
        <v>1</v>
      </c>
      <c r="BB1004" t="str">
        <f t="shared" si="47"/>
        <v xml:space="preserve">N162AM  </v>
      </c>
      <c r="BC1004">
        <v>1</v>
      </c>
      <c r="BE1004">
        <v>0</v>
      </c>
      <c r="BF1004">
        <v>0</v>
      </c>
      <c r="BG1004">
        <v>0</v>
      </c>
      <c r="BH1004">
        <v>1675</v>
      </c>
      <c r="BI1004">
        <v>1</v>
      </c>
      <c r="BJ1004">
        <v>1</v>
      </c>
      <c r="BK1004">
        <v>1</v>
      </c>
      <c r="BL1004">
        <v>0</v>
      </c>
      <c r="BO1004">
        <v>0</v>
      </c>
      <c r="BP1004">
        <v>0</v>
      </c>
      <c r="BW1004" t="str">
        <f>"14:47:00.253"</f>
        <v>14:47:00.253</v>
      </c>
      <c r="CJ1004">
        <v>3</v>
      </c>
      <c r="CK1004">
        <v>2</v>
      </c>
      <c r="CL1004">
        <v>0</v>
      </c>
      <c r="CM1004">
        <v>2</v>
      </c>
      <c r="CN1004">
        <v>0</v>
      </c>
      <c r="CO1004">
        <v>7</v>
      </c>
      <c r="CP1004" t="s">
        <v>119</v>
      </c>
      <c r="CQ1004">
        <v>232</v>
      </c>
      <c r="CR1004">
        <v>1</v>
      </c>
      <c r="CW1004">
        <v>15227804</v>
      </c>
      <c r="CY1004">
        <v>1</v>
      </c>
      <c r="CZ1004">
        <v>0</v>
      </c>
      <c r="DA1004">
        <v>1</v>
      </c>
      <c r="DB1004">
        <v>0</v>
      </c>
      <c r="DC1004">
        <v>0</v>
      </c>
      <c r="DD1004">
        <v>1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"12/16/2021 14:47:01.850"</f>
        <v>12/16/2021 14:47:01.850</v>
      </c>
      <c r="C1005" t="str">
        <f t="shared" si="46"/>
        <v>FFDFD3C0</v>
      </c>
      <c r="D1005" t="s">
        <v>133</v>
      </c>
      <c r="E1005">
        <v>44</v>
      </c>
      <c r="H1005">
        <v>131</v>
      </c>
      <c r="I1005" t="s">
        <v>134</v>
      </c>
      <c r="J1005" t="s">
        <v>135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"14:47:01.641"</f>
        <v>14:47:01.641</v>
      </c>
      <c r="T1005" t="str">
        <f>"14:47:01.241"</f>
        <v>14:47:01.241</v>
      </c>
      <c r="U1005" t="str">
        <f t="shared" si="45"/>
        <v>A0F928</v>
      </c>
      <c r="V1005">
        <v>0</v>
      </c>
      <c r="W1005">
        <v>0</v>
      </c>
      <c r="X1005">
        <v>2</v>
      </c>
      <c r="Z1005">
        <v>0</v>
      </c>
      <c r="AA1005">
        <v>9</v>
      </c>
      <c r="AB1005">
        <v>3</v>
      </c>
      <c r="AC1005">
        <v>0</v>
      </c>
      <c r="AD1005">
        <v>10</v>
      </c>
      <c r="AE1005">
        <v>0</v>
      </c>
      <c r="AF1005">
        <v>3</v>
      </c>
      <c r="AG1005">
        <v>2</v>
      </c>
      <c r="AH1005">
        <v>1</v>
      </c>
      <c r="AI1005" t="s">
        <v>598</v>
      </c>
      <c r="AJ1005">
        <v>35.832144999999997</v>
      </c>
      <c r="AK1005" t="s">
        <v>578</v>
      </c>
      <c r="AL1005">
        <v>-83.942864</v>
      </c>
      <c r="AM1005">
        <v>25</v>
      </c>
      <c r="AN1005">
        <v>1375</v>
      </c>
      <c r="AO1005" t="s">
        <v>118</v>
      </c>
      <c r="AP1005">
        <v>-51</v>
      </c>
      <c r="AQ1005">
        <v>101</v>
      </c>
      <c r="AR1005">
        <v>-832</v>
      </c>
      <c r="AZ1005">
        <v>300</v>
      </c>
      <c r="BA1005">
        <v>1</v>
      </c>
      <c r="BB1005" t="str">
        <f t="shared" si="47"/>
        <v xml:space="preserve">N162AM  </v>
      </c>
      <c r="BC1005">
        <v>1</v>
      </c>
      <c r="BE1005">
        <v>0</v>
      </c>
      <c r="BF1005">
        <v>0</v>
      </c>
      <c r="BG1005">
        <v>0</v>
      </c>
      <c r="BH1005">
        <v>1650</v>
      </c>
      <c r="BI1005">
        <v>1</v>
      </c>
      <c r="BJ1005">
        <v>1</v>
      </c>
      <c r="BK1005">
        <v>1</v>
      </c>
      <c r="BL1005">
        <v>0</v>
      </c>
      <c r="BO1005">
        <v>0</v>
      </c>
      <c r="BP1005">
        <v>0</v>
      </c>
      <c r="BW1005" t="str">
        <f>"14:47:01.646"</f>
        <v>14:47:01.646</v>
      </c>
      <c r="CJ1005">
        <v>3</v>
      </c>
      <c r="CK1005">
        <v>2</v>
      </c>
      <c r="CL1005">
        <v>0</v>
      </c>
      <c r="CM1005">
        <v>2</v>
      </c>
      <c r="CN1005">
        <v>0</v>
      </c>
      <c r="CO1005">
        <v>7</v>
      </c>
      <c r="CP1005" t="s">
        <v>119</v>
      </c>
      <c r="CQ1005">
        <v>232</v>
      </c>
      <c r="CR1005">
        <v>2</v>
      </c>
      <c r="CW1005">
        <v>6422097</v>
      </c>
      <c r="CY1005">
        <v>1</v>
      </c>
      <c r="CZ1005">
        <v>0</v>
      </c>
      <c r="DA1005">
        <v>0</v>
      </c>
      <c r="DB1005">
        <v>0</v>
      </c>
      <c r="DC1005">
        <v>0</v>
      </c>
      <c r="DD1005">
        <v>1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"12/16/2021 14:47:01.913"</f>
        <v>12/16/2021 14:47:01.913</v>
      </c>
      <c r="C1006" t="str">
        <f t="shared" si="46"/>
        <v>FFDFD3C0</v>
      </c>
      <c r="D1006" t="s">
        <v>124</v>
      </c>
      <c r="E1006">
        <v>5</v>
      </c>
      <c r="F1006">
        <v>1005</v>
      </c>
      <c r="G1006" t="s">
        <v>114</v>
      </c>
      <c r="J1006" t="s">
        <v>125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"14:47:01.641"</f>
        <v>14:47:01.641</v>
      </c>
      <c r="T1006" t="str">
        <f>"14:47:01.241"</f>
        <v>14:47:01.241</v>
      </c>
      <c r="U1006" t="str">
        <f t="shared" si="45"/>
        <v>A0F928</v>
      </c>
      <c r="V1006">
        <v>0</v>
      </c>
      <c r="W1006">
        <v>0</v>
      </c>
      <c r="X1006">
        <v>2</v>
      </c>
      <c r="Z1006">
        <v>0</v>
      </c>
      <c r="AA1006">
        <v>9</v>
      </c>
      <c r="AB1006">
        <v>3</v>
      </c>
      <c r="AC1006">
        <v>0</v>
      </c>
      <c r="AD1006">
        <v>10</v>
      </c>
      <c r="AE1006">
        <v>0</v>
      </c>
      <c r="AF1006">
        <v>3</v>
      </c>
      <c r="AG1006">
        <v>2</v>
      </c>
      <c r="AH1006">
        <v>1</v>
      </c>
      <c r="AI1006" t="s">
        <v>598</v>
      </c>
      <c r="AJ1006">
        <v>35.832144999999997</v>
      </c>
      <c r="AK1006" t="s">
        <v>578</v>
      </c>
      <c r="AL1006">
        <v>-83.942864</v>
      </c>
      <c r="AM1006">
        <v>25</v>
      </c>
      <c r="AN1006">
        <v>1375</v>
      </c>
      <c r="AO1006" t="s">
        <v>118</v>
      </c>
      <c r="AP1006">
        <v>-51</v>
      </c>
      <c r="AQ1006">
        <v>101</v>
      </c>
      <c r="AR1006">
        <v>-832</v>
      </c>
      <c r="AZ1006">
        <v>300</v>
      </c>
      <c r="BA1006">
        <v>1</v>
      </c>
      <c r="BB1006" t="str">
        <f t="shared" si="47"/>
        <v xml:space="preserve">N162AM  </v>
      </c>
      <c r="BC1006">
        <v>1</v>
      </c>
      <c r="BE1006">
        <v>0</v>
      </c>
      <c r="BF1006">
        <v>0</v>
      </c>
      <c r="BG1006">
        <v>0</v>
      </c>
      <c r="BH1006">
        <v>1650</v>
      </c>
      <c r="BI1006">
        <v>1</v>
      </c>
      <c r="BJ1006">
        <v>1</v>
      </c>
      <c r="BK1006">
        <v>1</v>
      </c>
      <c r="BL1006">
        <v>0</v>
      </c>
      <c r="BO1006">
        <v>0</v>
      </c>
      <c r="BP1006">
        <v>0</v>
      </c>
      <c r="BW1006" t="str">
        <f>"14:47:01.646"</f>
        <v>14:47:01.646</v>
      </c>
      <c r="CJ1006">
        <v>3</v>
      </c>
      <c r="CK1006">
        <v>2</v>
      </c>
      <c r="CL1006">
        <v>0</v>
      </c>
      <c r="CM1006">
        <v>2</v>
      </c>
      <c r="CN1006">
        <v>0</v>
      </c>
      <c r="CO1006">
        <v>7</v>
      </c>
      <c r="CP1006" t="s">
        <v>119</v>
      </c>
      <c r="CQ1006">
        <v>232</v>
      </c>
      <c r="CR1006">
        <v>2</v>
      </c>
      <c r="CW1006">
        <v>6422097</v>
      </c>
      <c r="CY1006">
        <v>1</v>
      </c>
      <c r="CZ1006">
        <v>0</v>
      </c>
      <c r="DA1006">
        <v>1</v>
      </c>
      <c r="DB1006">
        <v>0</v>
      </c>
      <c r="DC1006">
        <v>0</v>
      </c>
      <c r="DD1006">
        <v>1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"12/16/2021 14:47:01.913"</f>
        <v>12/16/2021 14:47:01.913</v>
      </c>
      <c r="C1007" t="str">
        <f t="shared" si="46"/>
        <v>FFDFD3C0</v>
      </c>
      <c r="D1007" t="s">
        <v>124</v>
      </c>
      <c r="E1007">
        <v>10</v>
      </c>
      <c r="F1007">
        <v>1010</v>
      </c>
      <c r="G1007" t="s">
        <v>130</v>
      </c>
      <c r="J1007" t="s">
        <v>125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"14:47:01.641"</f>
        <v>14:47:01.641</v>
      </c>
      <c r="T1007" t="str">
        <f>"14:47:01.241"</f>
        <v>14:47:01.241</v>
      </c>
      <c r="U1007" t="str">
        <f t="shared" si="45"/>
        <v>A0F928</v>
      </c>
      <c r="V1007">
        <v>0</v>
      </c>
      <c r="W1007">
        <v>0</v>
      </c>
      <c r="X1007">
        <v>2</v>
      </c>
      <c r="Z1007">
        <v>0</v>
      </c>
      <c r="AA1007">
        <v>9</v>
      </c>
      <c r="AB1007">
        <v>3</v>
      </c>
      <c r="AC1007">
        <v>0</v>
      </c>
      <c r="AD1007">
        <v>10</v>
      </c>
      <c r="AE1007">
        <v>0</v>
      </c>
      <c r="AF1007">
        <v>0</v>
      </c>
      <c r="AG1007">
        <v>2</v>
      </c>
      <c r="AH1007">
        <v>1</v>
      </c>
      <c r="AI1007" t="s">
        <v>598</v>
      </c>
      <c r="AJ1007">
        <v>35.832144999999997</v>
      </c>
      <c r="AK1007" t="s">
        <v>578</v>
      </c>
      <c r="AL1007">
        <v>-83.942864</v>
      </c>
      <c r="AM1007">
        <v>25</v>
      </c>
      <c r="AN1007">
        <v>1375</v>
      </c>
      <c r="AO1007" t="s">
        <v>118</v>
      </c>
      <c r="AP1007">
        <v>-51</v>
      </c>
      <c r="AQ1007">
        <v>101</v>
      </c>
      <c r="AR1007">
        <v>-832</v>
      </c>
      <c r="AZ1007">
        <v>300</v>
      </c>
      <c r="BA1007">
        <v>1</v>
      </c>
      <c r="BB1007" t="str">
        <f t="shared" si="47"/>
        <v xml:space="preserve">N162AM  </v>
      </c>
      <c r="BC1007">
        <v>1</v>
      </c>
      <c r="BE1007">
        <v>0</v>
      </c>
      <c r="BF1007">
        <v>0</v>
      </c>
      <c r="BG1007">
        <v>0</v>
      </c>
      <c r="BH1007">
        <v>1650</v>
      </c>
      <c r="BI1007">
        <v>1</v>
      </c>
      <c r="BJ1007">
        <v>1</v>
      </c>
      <c r="BK1007">
        <v>1</v>
      </c>
      <c r="BL1007">
        <v>0</v>
      </c>
      <c r="BO1007">
        <v>0</v>
      </c>
      <c r="BP1007">
        <v>0</v>
      </c>
      <c r="BW1007" t="str">
        <f>"14:47:01.646"</f>
        <v>14:47:01.646</v>
      </c>
      <c r="CJ1007">
        <v>2</v>
      </c>
      <c r="CK1007">
        <v>2</v>
      </c>
      <c r="CL1007">
        <v>0</v>
      </c>
      <c r="CM1007">
        <v>2</v>
      </c>
      <c r="CN1007">
        <v>0</v>
      </c>
      <c r="CO1007">
        <v>7</v>
      </c>
      <c r="CP1007" t="s">
        <v>119</v>
      </c>
      <c r="CQ1007">
        <v>232</v>
      </c>
      <c r="CR1007">
        <v>2</v>
      </c>
      <c r="CW1007">
        <v>6422097</v>
      </c>
      <c r="CY1007">
        <v>1</v>
      </c>
      <c r="CZ1007">
        <v>0</v>
      </c>
      <c r="DA1007">
        <v>1</v>
      </c>
      <c r="DB1007">
        <v>0</v>
      </c>
      <c r="DC1007">
        <v>0</v>
      </c>
      <c r="DD1007">
        <v>1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"12/16/2021 14:47:01.913"</f>
        <v>12/16/2021 14:47:01.913</v>
      </c>
      <c r="C1008" t="str">
        <f t="shared" si="46"/>
        <v>FFDFD3C0</v>
      </c>
      <c r="D1008" t="s">
        <v>113</v>
      </c>
      <c r="E1008">
        <v>8</v>
      </c>
      <c r="H1008">
        <v>176</v>
      </c>
      <c r="I1008" t="s">
        <v>114</v>
      </c>
      <c r="J1008" t="s">
        <v>115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"14:47:01.641"</f>
        <v>14:47:01.641</v>
      </c>
      <c r="T1008" t="str">
        <f>"14:47:01.241"</f>
        <v>14:47:01.241</v>
      </c>
      <c r="U1008" t="str">
        <f t="shared" si="45"/>
        <v>A0F928</v>
      </c>
      <c r="V1008">
        <v>0</v>
      </c>
      <c r="W1008">
        <v>0</v>
      </c>
      <c r="X1008">
        <v>2</v>
      </c>
      <c r="Z1008">
        <v>0</v>
      </c>
      <c r="AA1008">
        <v>9</v>
      </c>
      <c r="AB1008">
        <v>3</v>
      </c>
      <c r="AC1008">
        <v>0</v>
      </c>
      <c r="AD1008">
        <v>10</v>
      </c>
      <c r="AE1008">
        <v>0</v>
      </c>
      <c r="AF1008">
        <v>3</v>
      </c>
      <c r="AG1008">
        <v>2</v>
      </c>
      <c r="AH1008">
        <v>1</v>
      </c>
      <c r="AI1008" t="s">
        <v>598</v>
      </c>
      <c r="AJ1008">
        <v>35.832144999999997</v>
      </c>
      <c r="AK1008" t="s">
        <v>578</v>
      </c>
      <c r="AL1008">
        <v>-83.942864</v>
      </c>
      <c r="AM1008">
        <v>25</v>
      </c>
      <c r="AN1008">
        <v>1375</v>
      </c>
      <c r="AO1008" t="s">
        <v>118</v>
      </c>
      <c r="AP1008">
        <v>-51</v>
      </c>
      <c r="AQ1008">
        <v>101</v>
      </c>
      <c r="AR1008">
        <v>-832</v>
      </c>
      <c r="AZ1008">
        <v>300</v>
      </c>
      <c r="BA1008">
        <v>1</v>
      </c>
      <c r="BB1008" t="str">
        <f t="shared" si="47"/>
        <v xml:space="preserve">N162AM  </v>
      </c>
      <c r="BC1008">
        <v>1</v>
      </c>
      <c r="BE1008">
        <v>0</v>
      </c>
      <c r="BF1008">
        <v>0</v>
      </c>
      <c r="BG1008">
        <v>0</v>
      </c>
      <c r="BH1008">
        <v>1650</v>
      </c>
      <c r="BI1008">
        <v>1</v>
      </c>
      <c r="BJ1008">
        <v>1</v>
      </c>
      <c r="BK1008">
        <v>1</v>
      </c>
      <c r="BL1008">
        <v>0</v>
      </c>
      <c r="BO1008">
        <v>0</v>
      </c>
      <c r="BP1008">
        <v>0</v>
      </c>
      <c r="BW1008" t="str">
        <f>"14:47:01.646"</f>
        <v>14:47:01.646</v>
      </c>
      <c r="CJ1008">
        <v>3</v>
      </c>
      <c r="CK1008">
        <v>2</v>
      </c>
      <c r="CL1008">
        <v>0</v>
      </c>
      <c r="CM1008">
        <v>2</v>
      </c>
      <c r="CN1008">
        <v>0</v>
      </c>
      <c r="CO1008">
        <v>7</v>
      </c>
      <c r="CP1008" t="s">
        <v>119</v>
      </c>
      <c r="CQ1008">
        <v>232</v>
      </c>
      <c r="CR1008">
        <v>2</v>
      </c>
      <c r="CW1008">
        <v>6422097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1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"12/16/2021 14:47:02.913"</f>
        <v>12/16/2021 14:47:02.913</v>
      </c>
      <c r="C1009" t="str">
        <f t="shared" si="46"/>
        <v>FFDFD3C0</v>
      </c>
      <c r="D1009" t="s">
        <v>133</v>
      </c>
      <c r="E1009">
        <v>44</v>
      </c>
      <c r="H1009">
        <v>131</v>
      </c>
      <c r="I1009" t="s">
        <v>134</v>
      </c>
      <c r="J1009" t="s">
        <v>135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"14:47:02.695"</f>
        <v>14:47:02.695</v>
      </c>
      <c r="T1009" t="str">
        <f>"14:47:02.295"</f>
        <v>14:47:02.295</v>
      </c>
      <c r="U1009" t="str">
        <f t="shared" si="45"/>
        <v>A0F928</v>
      </c>
      <c r="V1009">
        <v>0</v>
      </c>
      <c r="W1009">
        <v>0</v>
      </c>
      <c r="X1009">
        <v>2</v>
      </c>
      <c r="Z1009">
        <v>0</v>
      </c>
      <c r="AA1009">
        <v>9</v>
      </c>
      <c r="AB1009">
        <v>3</v>
      </c>
      <c r="AC1009">
        <v>0</v>
      </c>
      <c r="AD1009">
        <v>10</v>
      </c>
      <c r="AE1009">
        <v>0</v>
      </c>
      <c r="AF1009">
        <v>3</v>
      </c>
      <c r="AG1009">
        <v>2</v>
      </c>
      <c r="AH1009">
        <v>1</v>
      </c>
      <c r="AI1009" t="s">
        <v>599</v>
      </c>
      <c r="AJ1009">
        <v>35.832659999999997</v>
      </c>
      <c r="AK1009" t="s">
        <v>576</v>
      </c>
      <c r="AL1009">
        <v>-83.943207000000001</v>
      </c>
      <c r="AM1009">
        <v>25</v>
      </c>
      <c r="AN1009">
        <v>1350</v>
      </c>
      <c r="AO1009" t="s">
        <v>118</v>
      </c>
      <c r="AP1009">
        <v>-56</v>
      </c>
      <c r="AQ1009">
        <v>97</v>
      </c>
      <c r="AR1009">
        <v>-768</v>
      </c>
      <c r="AZ1009">
        <v>300</v>
      </c>
      <c r="BA1009">
        <v>1</v>
      </c>
      <c r="BB1009" t="str">
        <f t="shared" si="47"/>
        <v xml:space="preserve">N162AM  </v>
      </c>
      <c r="BC1009">
        <v>1</v>
      </c>
      <c r="BE1009">
        <v>0</v>
      </c>
      <c r="BF1009">
        <v>0</v>
      </c>
      <c r="BG1009">
        <v>0</v>
      </c>
      <c r="BH1009">
        <v>1625</v>
      </c>
      <c r="BI1009">
        <v>1</v>
      </c>
      <c r="BJ1009">
        <v>1</v>
      </c>
      <c r="BK1009">
        <v>1</v>
      </c>
      <c r="BL1009">
        <v>0</v>
      </c>
      <c r="BO1009">
        <v>0</v>
      </c>
      <c r="BP1009">
        <v>0</v>
      </c>
      <c r="BW1009" t="str">
        <f>"14:47:02.696"</f>
        <v>14:47:02.696</v>
      </c>
      <c r="CJ1009">
        <v>3</v>
      </c>
      <c r="CK1009">
        <v>2</v>
      </c>
      <c r="CL1009">
        <v>0</v>
      </c>
      <c r="CM1009">
        <v>2</v>
      </c>
      <c r="CN1009">
        <v>0</v>
      </c>
      <c r="CO1009">
        <v>7</v>
      </c>
      <c r="CP1009" t="s">
        <v>119</v>
      </c>
      <c r="CQ1009">
        <v>232</v>
      </c>
      <c r="CR1009">
        <v>1</v>
      </c>
      <c r="CW1009">
        <v>15231644</v>
      </c>
      <c r="CY1009">
        <v>1</v>
      </c>
      <c r="CZ1009">
        <v>0</v>
      </c>
      <c r="DA1009">
        <v>0</v>
      </c>
      <c r="DB1009">
        <v>0</v>
      </c>
      <c r="DC1009">
        <v>0</v>
      </c>
      <c r="DD1009">
        <v>1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"12/16/2021 14:47:02.928"</f>
        <v>12/16/2021 14:47:02.928</v>
      </c>
      <c r="C1010" t="str">
        <f t="shared" si="46"/>
        <v>FFDFD3C0</v>
      </c>
      <c r="D1010" t="s">
        <v>124</v>
      </c>
      <c r="E1010">
        <v>5</v>
      </c>
      <c r="F1010">
        <v>1005</v>
      </c>
      <c r="G1010" t="s">
        <v>114</v>
      </c>
      <c r="J1010" t="s">
        <v>125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"14:47:02.695"</f>
        <v>14:47:02.695</v>
      </c>
      <c r="T1010" t="str">
        <f>"14:47:02.295"</f>
        <v>14:47:02.295</v>
      </c>
      <c r="U1010" t="str">
        <f t="shared" si="45"/>
        <v>A0F928</v>
      </c>
      <c r="V1010">
        <v>0</v>
      </c>
      <c r="W1010">
        <v>0</v>
      </c>
      <c r="X1010">
        <v>2</v>
      </c>
      <c r="Z1010">
        <v>0</v>
      </c>
      <c r="AA1010">
        <v>9</v>
      </c>
      <c r="AB1010">
        <v>3</v>
      </c>
      <c r="AC1010">
        <v>0</v>
      </c>
      <c r="AD1010">
        <v>10</v>
      </c>
      <c r="AE1010">
        <v>0</v>
      </c>
      <c r="AF1010">
        <v>3</v>
      </c>
      <c r="AG1010">
        <v>2</v>
      </c>
      <c r="AH1010">
        <v>1</v>
      </c>
      <c r="AI1010" t="s">
        <v>599</v>
      </c>
      <c r="AJ1010">
        <v>35.832659999999997</v>
      </c>
      <c r="AK1010" t="s">
        <v>576</v>
      </c>
      <c r="AL1010">
        <v>-83.943207000000001</v>
      </c>
      <c r="AM1010">
        <v>25</v>
      </c>
      <c r="AN1010">
        <v>1350</v>
      </c>
      <c r="AO1010" t="s">
        <v>118</v>
      </c>
      <c r="AP1010">
        <v>-56</v>
      </c>
      <c r="AQ1010">
        <v>97</v>
      </c>
      <c r="AR1010">
        <v>-768</v>
      </c>
      <c r="AZ1010">
        <v>300</v>
      </c>
      <c r="BA1010">
        <v>1</v>
      </c>
      <c r="BB1010" t="str">
        <f t="shared" si="47"/>
        <v xml:space="preserve">N162AM  </v>
      </c>
      <c r="BC1010">
        <v>1</v>
      </c>
      <c r="BE1010">
        <v>0</v>
      </c>
      <c r="BF1010">
        <v>0</v>
      </c>
      <c r="BG1010">
        <v>0</v>
      </c>
      <c r="BH1010">
        <v>1625</v>
      </c>
      <c r="BI1010">
        <v>1</v>
      </c>
      <c r="BJ1010">
        <v>1</v>
      </c>
      <c r="BK1010">
        <v>1</v>
      </c>
      <c r="BL1010">
        <v>0</v>
      </c>
      <c r="BO1010">
        <v>0</v>
      </c>
      <c r="BP1010">
        <v>0</v>
      </c>
      <c r="BW1010" t="str">
        <f>"14:47:02.696"</f>
        <v>14:47:02.696</v>
      </c>
      <c r="CJ1010">
        <v>3</v>
      </c>
      <c r="CK1010">
        <v>2</v>
      </c>
      <c r="CL1010">
        <v>0</v>
      </c>
      <c r="CM1010">
        <v>2</v>
      </c>
      <c r="CN1010">
        <v>0</v>
      </c>
      <c r="CO1010">
        <v>7</v>
      </c>
      <c r="CP1010" t="s">
        <v>119</v>
      </c>
      <c r="CQ1010">
        <v>232</v>
      </c>
      <c r="CR1010">
        <v>1</v>
      </c>
      <c r="CW1010">
        <v>15231644</v>
      </c>
      <c r="CY1010">
        <v>1</v>
      </c>
      <c r="CZ1010">
        <v>0</v>
      </c>
      <c r="DA1010">
        <v>1</v>
      </c>
      <c r="DB1010">
        <v>0</v>
      </c>
      <c r="DC1010">
        <v>0</v>
      </c>
      <c r="DD1010">
        <v>1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"12/16/2021 14:47:02.928"</f>
        <v>12/16/2021 14:47:02.928</v>
      </c>
      <c r="C1011" t="str">
        <f t="shared" si="46"/>
        <v>FFDFD3C0</v>
      </c>
      <c r="D1011" t="s">
        <v>124</v>
      </c>
      <c r="E1011">
        <v>10</v>
      </c>
      <c r="F1011">
        <v>1010</v>
      </c>
      <c r="G1011" t="s">
        <v>130</v>
      </c>
      <c r="J1011" t="s">
        <v>125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"14:47:02.695"</f>
        <v>14:47:02.695</v>
      </c>
      <c r="T1011" t="str">
        <f>"14:47:02.295"</f>
        <v>14:47:02.295</v>
      </c>
      <c r="U1011" t="str">
        <f t="shared" si="45"/>
        <v>A0F928</v>
      </c>
      <c r="V1011">
        <v>0</v>
      </c>
      <c r="W1011">
        <v>0</v>
      </c>
      <c r="X1011">
        <v>2</v>
      </c>
      <c r="Z1011">
        <v>0</v>
      </c>
      <c r="AA1011">
        <v>9</v>
      </c>
      <c r="AB1011">
        <v>3</v>
      </c>
      <c r="AC1011">
        <v>0</v>
      </c>
      <c r="AD1011">
        <v>10</v>
      </c>
      <c r="AE1011">
        <v>0</v>
      </c>
      <c r="AF1011">
        <v>0</v>
      </c>
      <c r="AG1011">
        <v>2</v>
      </c>
      <c r="AH1011">
        <v>1</v>
      </c>
      <c r="AI1011" t="s">
        <v>599</v>
      </c>
      <c r="AJ1011">
        <v>35.832659999999997</v>
      </c>
      <c r="AK1011" t="s">
        <v>576</v>
      </c>
      <c r="AL1011">
        <v>-83.943207000000001</v>
      </c>
      <c r="AM1011">
        <v>25</v>
      </c>
      <c r="AN1011">
        <v>1350</v>
      </c>
      <c r="AO1011" t="s">
        <v>118</v>
      </c>
      <c r="AP1011">
        <v>-56</v>
      </c>
      <c r="AQ1011">
        <v>97</v>
      </c>
      <c r="AR1011">
        <v>-768</v>
      </c>
      <c r="AZ1011">
        <v>300</v>
      </c>
      <c r="BA1011">
        <v>1</v>
      </c>
      <c r="BB1011" t="str">
        <f t="shared" si="47"/>
        <v xml:space="preserve">N162AM  </v>
      </c>
      <c r="BC1011">
        <v>1</v>
      </c>
      <c r="BE1011">
        <v>0</v>
      </c>
      <c r="BF1011">
        <v>0</v>
      </c>
      <c r="BG1011">
        <v>0</v>
      </c>
      <c r="BH1011">
        <v>1625</v>
      </c>
      <c r="BI1011">
        <v>1</v>
      </c>
      <c r="BJ1011">
        <v>1</v>
      </c>
      <c r="BK1011">
        <v>1</v>
      </c>
      <c r="BL1011">
        <v>0</v>
      </c>
      <c r="BO1011">
        <v>0</v>
      </c>
      <c r="BP1011">
        <v>0</v>
      </c>
      <c r="BW1011" t="str">
        <f>"14:47:02.696"</f>
        <v>14:47:02.696</v>
      </c>
      <c r="CJ1011">
        <v>2</v>
      </c>
      <c r="CK1011">
        <v>2</v>
      </c>
      <c r="CL1011">
        <v>0</v>
      </c>
      <c r="CM1011">
        <v>2</v>
      </c>
      <c r="CN1011">
        <v>0</v>
      </c>
      <c r="CO1011">
        <v>7</v>
      </c>
      <c r="CP1011" t="s">
        <v>119</v>
      </c>
      <c r="CQ1011">
        <v>232</v>
      </c>
      <c r="CR1011">
        <v>1</v>
      </c>
      <c r="CW1011">
        <v>15231644</v>
      </c>
      <c r="CY1011">
        <v>1</v>
      </c>
      <c r="CZ1011">
        <v>0</v>
      </c>
      <c r="DA1011">
        <v>1</v>
      </c>
      <c r="DB1011">
        <v>0</v>
      </c>
      <c r="DC1011">
        <v>0</v>
      </c>
      <c r="DD1011">
        <v>1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"12/16/2021 14:47:02.928"</f>
        <v>12/16/2021 14:47:02.928</v>
      </c>
      <c r="C1012" t="str">
        <f t="shared" si="46"/>
        <v>FFDFD3C0</v>
      </c>
      <c r="D1012" t="s">
        <v>113</v>
      </c>
      <c r="E1012">
        <v>8</v>
      </c>
      <c r="H1012">
        <v>176</v>
      </c>
      <c r="I1012" t="s">
        <v>114</v>
      </c>
      <c r="J1012" t="s">
        <v>115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"14:47:02.695"</f>
        <v>14:47:02.695</v>
      </c>
      <c r="T1012" t="str">
        <f>"14:47:02.295"</f>
        <v>14:47:02.295</v>
      </c>
      <c r="U1012" t="str">
        <f t="shared" si="45"/>
        <v>A0F928</v>
      </c>
      <c r="V1012">
        <v>0</v>
      </c>
      <c r="W1012">
        <v>0</v>
      </c>
      <c r="X1012">
        <v>2</v>
      </c>
      <c r="Z1012">
        <v>0</v>
      </c>
      <c r="AA1012">
        <v>9</v>
      </c>
      <c r="AB1012">
        <v>3</v>
      </c>
      <c r="AC1012">
        <v>0</v>
      </c>
      <c r="AD1012">
        <v>10</v>
      </c>
      <c r="AE1012">
        <v>0</v>
      </c>
      <c r="AF1012">
        <v>3</v>
      </c>
      <c r="AG1012">
        <v>2</v>
      </c>
      <c r="AH1012">
        <v>1</v>
      </c>
      <c r="AI1012" t="s">
        <v>599</v>
      </c>
      <c r="AJ1012">
        <v>35.832659999999997</v>
      </c>
      <c r="AK1012" t="s">
        <v>576</v>
      </c>
      <c r="AL1012">
        <v>-83.943207000000001</v>
      </c>
      <c r="AM1012">
        <v>25</v>
      </c>
      <c r="AN1012">
        <v>1350</v>
      </c>
      <c r="AO1012" t="s">
        <v>118</v>
      </c>
      <c r="AP1012">
        <v>-56</v>
      </c>
      <c r="AQ1012">
        <v>97</v>
      </c>
      <c r="AR1012">
        <v>-768</v>
      </c>
      <c r="AZ1012">
        <v>300</v>
      </c>
      <c r="BA1012">
        <v>1</v>
      </c>
      <c r="BB1012" t="str">
        <f t="shared" si="47"/>
        <v xml:space="preserve">N162AM  </v>
      </c>
      <c r="BC1012">
        <v>1</v>
      </c>
      <c r="BE1012">
        <v>0</v>
      </c>
      <c r="BF1012">
        <v>0</v>
      </c>
      <c r="BG1012">
        <v>0</v>
      </c>
      <c r="BH1012">
        <v>1625</v>
      </c>
      <c r="BI1012">
        <v>1</v>
      </c>
      <c r="BJ1012">
        <v>1</v>
      </c>
      <c r="BK1012">
        <v>1</v>
      </c>
      <c r="BL1012">
        <v>0</v>
      </c>
      <c r="BO1012">
        <v>0</v>
      </c>
      <c r="BP1012">
        <v>0</v>
      </c>
      <c r="BW1012" t="str">
        <f>"14:47:02.696"</f>
        <v>14:47:02.696</v>
      </c>
      <c r="CJ1012">
        <v>3</v>
      </c>
      <c r="CK1012">
        <v>2</v>
      </c>
      <c r="CL1012">
        <v>0</v>
      </c>
      <c r="CM1012">
        <v>2</v>
      </c>
      <c r="CN1012">
        <v>0</v>
      </c>
      <c r="CO1012">
        <v>7</v>
      </c>
      <c r="CP1012" t="s">
        <v>119</v>
      </c>
      <c r="CQ1012">
        <v>232</v>
      </c>
      <c r="CR1012">
        <v>1</v>
      </c>
      <c r="CW1012">
        <v>15231644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1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"12/16/2021 14:47:04.038"</f>
        <v>12/16/2021 14:47:04.038</v>
      </c>
      <c r="C1013" t="str">
        <f t="shared" si="46"/>
        <v>FFDFD3C0</v>
      </c>
      <c r="D1013" t="s">
        <v>113</v>
      </c>
      <c r="E1013">
        <v>8</v>
      </c>
      <c r="H1013">
        <v>176</v>
      </c>
      <c r="I1013" t="s">
        <v>114</v>
      </c>
      <c r="J1013" t="s">
        <v>115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"14:47:03.766"</f>
        <v>14:47:03.766</v>
      </c>
      <c r="T1013" t="str">
        <f>"14:47:03.266"</f>
        <v>14:47:03.266</v>
      </c>
      <c r="U1013" t="str">
        <f t="shared" si="45"/>
        <v>A0F928</v>
      </c>
      <c r="V1013">
        <v>0</v>
      </c>
      <c r="W1013">
        <v>0</v>
      </c>
      <c r="X1013">
        <v>2</v>
      </c>
      <c r="Z1013">
        <v>0</v>
      </c>
      <c r="AA1013">
        <v>9</v>
      </c>
      <c r="AB1013">
        <v>3</v>
      </c>
      <c r="AC1013">
        <v>0</v>
      </c>
      <c r="AD1013">
        <v>10</v>
      </c>
      <c r="AE1013">
        <v>0</v>
      </c>
      <c r="AF1013">
        <v>3</v>
      </c>
      <c r="AG1013">
        <v>2</v>
      </c>
      <c r="AH1013">
        <v>1</v>
      </c>
      <c r="AI1013" t="s">
        <v>600</v>
      </c>
      <c r="AJ1013">
        <v>35.833089000000001</v>
      </c>
      <c r="AK1013" t="s">
        <v>601</v>
      </c>
      <c r="AL1013">
        <v>-83.943614999999994</v>
      </c>
      <c r="AM1013">
        <v>25</v>
      </c>
      <c r="AN1013">
        <v>1350</v>
      </c>
      <c r="AO1013" t="s">
        <v>118</v>
      </c>
      <c r="AP1013">
        <v>-62</v>
      </c>
      <c r="AQ1013">
        <v>92</v>
      </c>
      <c r="AR1013">
        <v>-512</v>
      </c>
      <c r="AZ1013">
        <v>300</v>
      </c>
      <c r="BA1013">
        <v>1</v>
      </c>
      <c r="BB1013" t="str">
        <f t="shared" si="47"/>
        <v xml:space="preserve">N162AM  </v>
      </c>
      <c r="BC1013">
        <v>1</v>
      </c>
      <c r="BE1013">
        <v>0</v>
      </c>
      <c r="BF1013">
        <v>0</v>
      </c>
      <c r="BG1013">
        <v>0</v>
      </c>
      <c r="BH1013">
        <v>1600</v>
      </c>
      <c r="BI1013">
        <v>1</v>
      </c>
      <c r="BJ1013">
        <v>1</v>
      </c>
      <c r="BK1013">
        <v>1</v>
      </c>
      <c r="BL1013">
        <v>0</v>
      </c>
      <c r="BO1013">
        <v>0</v>
      </c>
      <c r="BP1013">
        <v>0</v>
      </c>
      <c r="BW1013" t="str">
        <f>"14:47:03.773"</f>
        <v>14:47:03.773</v>
      </c>
      <c r="CJ1013">
        <v>3</v>
      </c>
      <c r="CK1013">
        <v>2</v>
      </c>
      <c r="CL1013">
        <v>0</v>
      </c>
      <c r="CM1013">
        <v>2</v>
      </c>
      <c r="CN1013">
        <v>0</v>
      </c>
      <c r="CO1013">
        <v>5</v>
      </c>
      <c r="CP1013" t="s">
        <v>119</v>
      </c>
      <c r="CQ1013">
        <v>232</v>
      </c>
      <c r="CR1013">
        <v>1</v>
      </c>
      <c r="CW1013">
        <v>15233255</v>
      </c>
      <c r="CY1013">
        <v>1</v>
      </c>
      <c r="CZ1013">
        <v>0</v>
      </c>
      <c r="DA1013">
        <v>0</v>
      </c>
      <c r="DB1013">
        <v>0</v>
      </c>
      <c r="DC1013">
        <v>0</v>
      </c>
      <c r="DD1013">
        <v>1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"12/16/2021 14:47:04.038"</f>
        <v>12/16/2021 14:47:04.038</v>
      </c>
      <c r="C1014" t="str">
        <f t="shared" si="46"/>
        <v>FFDFD3C0</v>
      </c>
      <c r="D1014" t="s">
        <v>133</v>
      </c>
      <c r="E1014">
        <v>44</v>
      </c>
      <c r="H1014">
        <v>131</v>
      </c>
      <c r="I1014" t="s">
        <v>134</v>
      </c>
      <c r="J1014" t="s">
        <v>135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"14:47:03.766"</f>
        <v>14:47:03.766</v>
      </c>
      <c r="T1014" t="str">
        <f>"14:47:03.266"</f>
        <v>14:47:03.266</v>
      </c>
      <c r="U1014" t="str">
        <f t="shared" si="45"/>
        <v>A0F928</v>
      </c>
      <c r="V1014">
        <v>0</v>
      </c>
      <c r="W1014">
        <v>0</v>
      </c>
      <c r="X1014">
        <v>2</v>
      </c>
      <c r="Z1014">
        <v>0</v>
      </c>
      <c r="AA1014">
        <v>9</v>
      </c>
      <c r="AB1014">
        <v>3</v>
      </c>
      <c r="AC1014">
        <v>0</v>
      </c>
      <c r="AD1014">
        <v>10</v>
      </c>
      <c r="AE1014">
        <v>0</v>
      </c>
      <c r="AF1014">
        <v>3</v>
      </c>
      <c r="AG1014">
        <v>2</v>
      </c>
      <c r="AH1014">
        <v>1</v>
      </c>
      <c r="AI1014" t="s">
        <v>600</v>
      </c>
      <c r="AJ1014">
        <v>35.833089000000001</v>
      </c>
      <c r="AK1014" t="s">
        <v>601</v>
      </c>
      <c r="AL1014">
        <v>-83.943614999999994</v>
      </c>
      <c r="AM1014">
        <v>25</v>
      </c>
      <c r="AN1014">
        <v>1350</v>
      </c>
      <c r="AO1014" t="s">
        <v>118</v>
      </c>
      <c r="AP1014">
        <v>-62</v>
      </c>
      <c r="AQ1014">
        <v>92</v>
      </c>
      <c r="AR1014">
        <v>-512</v>
      </c>
      <c r="AZ1014">
        <v>300</v>
      </c>
      <c r="BA1014">
        <v>1</v>
      </c>
      <c r="BB1014" t="str">
        <f t="shared" si="47"/>
        <v xml:space="preserve">N162AM  </v>
      </c>
      <c r="BC1014">
        <v>1</v>
      </c>
      <c r="BE1014">
        <v>0</v>
      </c>
      <c r="BF1014">
        <v>0</v>
      </c>
      <c r="BG1014">
        <v>0</v>
      </c>
      <c r="BH1014">
        <v>1600</v>
      </c>
      <c r="BI1014">
        <v>1</v>
      </c>
      <c r="BJ1014">
        <v>1</v>
      </c>
      <c r="BK1014">
        <v>1</v>
      </c>
      <c r="BL1014">
        <v>0</v>
      </c>
      <c r="BO1014">
        <v>0</v>
      </c>
      <c r="BP1014">
        <v>0</v>
      </c>
      <c r="BW1014" t="str">
        <f>"14:47:03.773"</f>
        <v>14:47:03.773</v>
      </c>
      <c r="CJ1014">
        <v>3</v>
      </c>
      <c r="CK1014">
        <v>2</v>
      </c>
      <c r="CL1014">
        <v>0</v>
      </c>
      <c r="CM1014">
        <v>2</v>
      </c>
      <c r="CN1014">
        <v>0</v>
      </c>
      <c r="CO1014">
        <v>5</v>
      </c>
      <c r="CP1014" t="s">
        <v>119</v>
      </c>
      <c r="CQ1014">
        <v>232</v>
      </c>
      <c r="CR1014">
        <v>1</v>
      </c>
      <c r="CW1014">
        <v>15233255</v>
      </c>
      <c r="CY1014">
        <v>1</v>
      </c>
      <c r="CZ1014">
        <v>0</v>
      </c>
      <c r="DA1014">
        <v>1</v>
      </c>
      <c r="DB1014">
        <v>0</v>
      </c>
      <c r="DC1014">
        <v>0</v>
      </c>
      <c r="DD1014">
        <v>1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"12/16/2021 14:47:04.038"</f>
        <v>12/16/2021 14:47:04.038</v>
      </c>
      <c r="C1015" t="str">
        <f t="shared" si="46"/>
        <v>FFDFD3C0</v>
      </c>
      <c r="D1015" t="s">
        <v>124</v>
      </c>
      <c r="E1015">
        <v>5</v>
      </c>
      <c r="F1015">
        <v>1005</v>
      </c>
      <c r="G1015" t="s">
        <v>114</v>
      </c>
      <c r="J1015" t="s">
        <v>125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"14:47:03.766"</f>
        <v>14:47:03.766</v>
      </c>
      <c r="T1015" t="str">
        <f>"14:47:03.266"</f>
        <v>14:47:03.266</v>
      </c>
      <c r="U1015" t="str">
        <f t="shared" si="45"/>
        <v>A0F928</v>
      </c>
      <c r="V1015">
        <v>0</v>
      </c>
      <c r="W1015">
        <v>0</v>
      </c>
      <c r="X1015">
        <v>2</v>
      </c>
      <c r="Z1015">
        <v>0</v>
      </c>
      <c r="AA1015">
        <v>9</v>
      </c>
      <c r="AB1015">
        <v>3</v>
      </c>
      <c r="AC1015">
        <v>0</v>
      </c>
      <c r="AD1015">
        <v>10</v>
      </c>
      <c r="AE1015">
        <v>0</v>
      </c>
      <c r="AF1015">
        <v>3</v>
      </c>
      <c r="AG1015">
        <v>2</v>
      </c>
      <c r="AH1015">
        <v>1</v>
      </c>
      <c r="AI1015" t="s">
        <v>600</v>
      </c>
      <c r="AJ1015">
        <v>35.833089000000001</v>
      </c>
      <c r="AK1015" t="s">
        <v>601</v>
      </c>
      <c r="AL1015">
        <v>-83.943614999999994</v>
      </c>
      <c r="AM1015">
        <v>25</v>
      </c>
      <c r="AN1015">
        <v>1350</v>
      </c>
      <c r="AO1015" t="s">
        <v>118</v>
      </c>
      <c r="AP1015">
        <v>-62</v>
      </c>
      <c r="AQ1015">
        <v>92</v>
      </c>
      <c r="AR1015">
        <v>-512</v>
      </c>
      <c r="AZ1015">
        <v>300</v>
      </c>
      <c r="BA1015">
        <v>1</v>
      </c>
      <c r="BB1015" t="str">
        <f t="shared" si="47"/>
        <v xml:space="preserve">N162AM  </v>
      </c>
      <c r="BC1015">
        <v>1</v>
      </c>
      <c r="BE1015">
        <v>0</v>
      </c>
      <c r="BF1015">
        <v>0</v>
      </c>
      <c r="BG1015">
        <v>0</v>
      </c>
      <c r="BH1015">
        <v>1600</v>
      </c>
      <c r="BI1015">
        <v>1</v>
      </c>
      <c r="BJ1015">
        <v>1</v>
      </c>
      <c r="BK1015">
        <v>1</v>
      </c>
      <c r="BL1015">
        <v>0</v>
      </c>
      <c r="BO1015">
        <v>0</v>
      </c>
      <c r="BP1015">
        <v>0</v>
      </c>
      <c r="BW1015" t="str">
        <f>"14:47:03.773"</f>
        <v>14:47:03.773</v>
      </c>
      <c r="CJ1015">
        <v>3</v>
      </c>
      <c r="CK1015">
        <v>2</v>
      </c>
      <c r="CL1015">
        <v>0</v>
      </c>
      <c r="CM1015">
        <v>2</v>
      </c>
      <c r="CN1015">
        <v>0</v>
      </c>
      <c r="CO1015">
        <v>5</v>
      </c>
      <c r="CP1015" t="s">
        <v>119</v>
      </c>
      <c r="CQ1015">
        <v>232</v>
      </c>
      <c r="CR1015">
        <v>1</v>
      </c>
      <c r="CW1015">
        <v>15233255</v>
      </c>
      <c r="CY1015">
        <v>1</v>
      </c>
      <c r="CZ1015">
        <v>0</v>
      </c>
      <c r="DA1015">
        <v>1</v>
      </c>
      <c r="DB1015">
        <v>0</v>
      </c>
      <c r="DC1015">
        <v>0</v>
      </c>
      <c r="DD1015">
        <v>1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"12/16/2021 14:47:04.038"</f>
        <v>12/16/2021 14:47:04.038</v>
      </c>
      <c r="C1016" t="str">
        <f t="shared" si="46"/>
        <v>FFDFD3C0</v>
      </c>
      <c r="D1016" t="s">
        <v>124</v>
      </c>
      <c r="E1016">
        <v>10</v>
      </c>
      <c r="F1016">
        <v>1010</v>
      </c>
      <c r="G1016" t="s">
        <v>130</v>
      </c>
      <c r="J1016" t="s">
        <v>125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"14:47:03.766"</f>
        <v>14:47:03.766</v>
      </c>
      <c r="T1016" t="str">
        <f>"14:47:03.266"</f>
        <v>14:47:03.266</v>
      </c>
      <c r="U1016" t="str">
        <f t="shared" si="45"/>
        <v>A0F928</v>
      </c>
      <c r="V1016">
        <v>0</v>
      </c>
      <c r="W1016">
        <v>0</v>
      </c>
      <c r="X1016">
        <v>2</v>
      </c>
      <c r="Z1016">
        <v>0</v>
      </c>
      <c r="AA1016">
        <v>9</v>
      </c>
      <c r="AB1016">
        <v>3</v>
      </c>
      <c r="AC1016">
        <v>0</v>
      </c>
      <c r="AD1016">
        <v>10</v>
      </c>
      <c r="AE1016">
        <v>0</v>
      </c>
      <c r="AF1016">
        <v>0</v>
      </c>
      <c r="AG1016">
        <v>2</v>
      </c>
      <c r="AH1016">
        <v>1</v>
      </c>
      <c r="AI1016" t="s">
        <v>600</v>
      </c>
      <c r="AJ1016">
        <v>35.833089000000001</v>
      </c>
      <c r="AK1016" t="s">
        <v>601</v>
      </c>
      <c r="AL1016">
        <v>-83.943614999999994</v>
      </c>
      <c r="AM1016">
        <v>25</v>
      </c>
      <c r="AN1016">
        <v>1350</v>
      </c>
      <c r="AO1016" t="s">
        <v>118</v>
      </c>
      <c r="AP1016">
        <v>-62</v>
      </c>
      <c r="AQ1016">
        <v>92</v>
      </c>
      <c r="AR1016">
        <v>-512</v>
      </c>
      <c r="AZ1016">
        <v>300</v>
      </c>
      <c r="BA1016">
        <v>1</v>
      </c>
      <c r="BB1016" t="str">
        <f t="shared" si="47"/>
        <v xml:space="preserve">N162AM  </v>
      </c>
      <c r="BC1016">
        <v>1</v>
      </c>
      <c r="BE1016">
        <v>0</v>
      </c>
      <c r="BF1016">
        <v>0</v>
      </c>
      <c r="BG1016">
        <v>0</v>
      </c>
      <c r="BH1016">
        <v>1600</v>
      </c>
      <c r="BI1016">
        <v>1</v>
      </c>
      <c r="BJ1016">
        <v>1</v>
      </c>
      <c r="BK1016">
        <v>1</v>
      </c>
      <c r="BL1016">
        <v>0</v>
      </c>
      <c r="BO1016">
        <v>0</v>
      </c>
      <c r="BP1016">
        <v>0</v>
      </c>
      <c r="BW1016" t="str">
        <f>"14:47:03.773"</f>
        <v>14:47:03.773</v>
      </c>
      <c r="CJ1016">
        <v>2</v>
      </c>
      <c r="CK1016">
        <v>2</v>
      </c>
      <c r="CL1016">
        <v>0</v>
      </c>
      <c r="CM1016">
        <v>2</v>
      </c>
      <c r="CN1016">
        <v>0</v>
      </c>
      <c r="CO1016">
        <v>5</v>
      </c>
      <c r="CP1016" t="s">
        <v>119</v>
      </c>
      <c r="CQ1016">
        <v>232</v>
      </c>
      <c r="CR1016">
        <v>1</v>
      </c>
      <c r="CW1016">
        <v>15233255</v>
      </c>
      <c r="CY1016">
        <v>1</v>
      </c>
      <c r="CZ1016">
        <v>0</v>
      </c>
      <c r="DA1016">
        <v>1</v>
      </c>
      <c r="DB1016">
        <v>0</v>
      </c>
      <c r="DC1016">
        <v>0</v>
      </c>
      <c r="DD1016">
        <v>1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"12/16/2021 14:47:05.053"</f>
        <v>12/16/2021 14:47:05.053</v>
      </c>
      <c r="C1017" t="str">
        <f t="shared" si="46"/>
        <v>FFDFD3C0</v>
      </c>
      <c r="D1017" t="s">
        <v>133</v>
      </c>
      <c r="E1017">
        <v>44</v>
      </c>
      <c r="H1017">
        <v>131</v>
      </c>
      <c r="I1017" t="s">
        <v>134</v>
      </c>
      <c r="J1017" t="s">
        <v>135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"14:47:04.828"</f>
        <v>14:47:04.828</v>
      </c>
      <c r="T1017" t="str">
        <f>"14:47:04.328"</f>
        <v>14:47:04.328</v>
      </c>
      <c r="U1017" t="str">
        <f t="shared" si="45"/>
        <v>A0F928</v>
      </c>
      <c r="V1017">
        <v>0</v>
      </c>
      <c r="W1017">
        <v>0</v>
      </c>
      <c r="X1017">
        <v>2</v>
      </c>
      <c r="Z1017">
        <v>0</v>
      </c>
      <c r="AA1017">
        <v>9</v>
      </c>
      <c r="AB1017">
        <v>3</v>
      </c>
      <c r="AC1017">
        <v>0</v>
      </c>
      <c r="AD1017">
        <v>10</v>
      </c>
      <c r="AE1017">
        <v>0</v>
      </c>
      <c r="AF1017">
        <v>3</v>
      </c>
      <c r="AG1017">
        <v>2</v>
      </c>
      <c r="AH1017">
        <v>1</v>
      </c>
      <c r="AI1017" t="s">
        <v>602</v>
      </c>
      <c r="AJ1017">
        <v>35.833519000000003</v>
      </c>
      <c r="AK1017" t="s">
        <v>603</v>
      </c>
      <c r="AL1017">
        <v>-83.943957999999995</v>
      </c>
      <c r="AM1017">
        <v>25</v>
      </c>
      <c r="AN1017">
        <v>1350</v>
      </c>
      <c r="AO1017" t="s">
        <v>118</v>
      </c>
      <c r="AP1017">
        <v>-65</v>
      </c>
      <c r="AQ1017">
        <v>89</v>
      </c>
      <c r="AR1017">
        <v>-576</v>
      </c>
      <c r="AZ1017">
        <v>300</v>
      </c>
      <c r="BA1017">
        <v>1</v>
      </c>
      <c r="BB1017" t="str">
        <f t="shared" si="47"/>
        <v xml:space="preserve">N162AM  </v>
      </c>
      <c r="BC1017">
        <v>1</v>
      </c>
      <c r="BE1017">
        <v>0</v>
      </c>
      <c r="BF1017">
        <v>0</v>
      </c>
      <c r="BG1017">
        <v>0</v>
      </c>
      <c r="BH1017">
        <v>1600</v>
      </c>
      <c r="BI1017">
        <v>1</v>
      </c>
      <c r="BJ1017">
        <v>1</v>
      </c>
      <c r="BK1017">
        <v>1</v>
      </c>
      <c r="BL1017">
        <v>0</v>
      </c>
      <c r="BO1017">
        <v>0</v>
      </c>
      <c r="BP1017">
        <v>0</v>
      </c>
      <c r="BW1017" t="str">
        <f>"14:47:04.833"</f>
        <v>14:47:04.833</v>
      </c>
      <c r="CJ1017">
        <v>3</v>
      </c>
      <c r="CK1017">
        <v>2</v>
      </c>
      <c r="CL1017">
        <v>0</v>
      </c>
      <c r="CM1017">
        <v>2</v>
      </c>
      <c r="CN1017">
        <v>0</v>
      </c>
      <c r="CO1017">
        <v>7</v>
      </c>
      <c r="CP1017" t="s">
        <v>119</v>
      </c>
      <c r="CQ1017">
        <v>232</v>
      </c>
      <c r="CR1017">
        <v>1</v>
      </c>
      <c r="CW1017">
        <v>15234765</v>
      </c>
      <c r="CY1017">
        <v>1</v>
      </c>
      <c r="CZ1017">
        <v>0</v>
      </c>
      <c r="DA1017">
        <v>0</v>
      </c>
      <c r="DB1017">
        <v>0</v>
      </c>
      <c r="DC1017">
        <v>0</v>
      </c>
      <c r="DD1017">
        <v>1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"12/16/2021 14:47:05.053"</f>
        <v>12/16/2021 14:47:05.053</v>
      </c>
      <c r="C1018" t="str">
        <f t="shared" si="46"/>
        <v>FFDFD3C0</v>
      </c>
      <c r="D1018" t="s">
        <v>113</v>
      </c>
      <c r="E1018">
        <v>8</v>
      </c>
      <c r="H1018">
        <v>176</v>
      </c>
      <c r="I1018" t="s">
        <v>114</v>
      </c>
      <c r="J1018" t="s">
        <v>115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"14:47:04.828"</f>
        <v>14:47:04.828</v>
      </c>
      <c r="T1018" t="str">
        <f>"14:47:04.328"</f>
        <v>14:47:04.328</v>
      </c>
      <c r="U1018" t="str">
        <f t="shared" si="45"/>
        <v>A0F928</v>
      </c>
      <c r="V1018">
        <v>0</v>
      </c>
      <c r="W1018">
        <v>0</v>
      </c>
      <c r="X1018">
        <v>2</v>
      </c>
      <c r="Z1018">
        <v>0</v>
      </c>
      <c r="AA1018">
        <v>9</v>
      </c>
      <c r="AB1018">
        <v>3</v>
      </c>
      <c r="AC1018">
        <v>0</v>
      </c>
      <c r="AD1018">
        <v>10</v>
      </c>
      <c r="AE1018">
        <v>0</v>
      </c>
      <c r="AF1018">
        <v>3</v>
      </c>
      <c r="AG1018">
        <v>2</v>
      </c>
      <c r="AH1018">
        <v>1</v>
      </c>
      <c r="AI1018" t="s">
        <v>602</v>
      </c>
      <c r="AJ1018">
        <v>35.833519000000003</v>
      </c>
      <c r="AK1018" t="s">
        <v>603</v>
      </c>
      <c r="AL1018">
        <v>-83.943957999999995</v>
      </c>
      <c r="AM1018">
        <v>25</v>
      </c>
      <c r="AN1018">
        <v>1350</v>
      </c>
      <c r="AO1018" t="s">
        <v>118</v>
      </c>
      <c r="AP1018">
        <v>-65</v>
      </c>
      <c r="AQ1018">
        <v>89</v>
      </c>
      <c r="AR1018">
        <v>-576</v>
      </c>
      <c r="AZ1018">
        <v>300</v>
      </c>
      <c r="BA1018">
        <v>1</v>
      </c>
      <c r="BB1018" t="str">
        <f t="shared" si="47"/>
        <v xml:space="preserve">N162AM  </v>
      </c>
      <c r="BC1018">
        <v>1</v>
      </c>
      <c r="BE1018">
        <v>0</v>
      </c>
      <c r="BF1018">
        <v>0</v>
      </c>
      <c r="BG1018">
        <v>0</v>
      </c>
      <c r="BH1018">
        <v>1600</v>
      </c>
      <c r="BI1018">
        <v>1</v>
      </c>
      <c r="BJ1018">
        <v>1</v>
      </c>
      <c r="BK1018">
        <v>1</v>
      </c>
      <c r="BL1018">
        <v>0</v>
      </c>
      <c r="BO1018">
        <v>0</v>
      </c>
      <c r="BP1018">
        <v>0</v>
      </c>
      <c r="BW1018" t="str">
        <f>"14:47:04.833"</f>
        <v>14:47:04.833</v>
      </c>
      <c r="CJ1018">
        <v>3</v>
      </c>
      <c r="CK1018">
        <v>2</v>
      </c>
      <c r="CL1018">
        <v>0</v>
      </c>
      <c r="CM1018">
        <v>2</v>
      </c>
      <c r="CN1018">
        <v>0</v>
      </c>
      <c r="CO1018">
        <v>7</v>
      </c>
      <c r="CP1018" t="s">
        <v>119</v>
      </c>
      <c r="CQ1018">
        <v>232</v>
      </c>
      <c r="CR1018">
        <v>1</v>
      </c>
      <c r="CW1018">
        <v>15234765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1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"12/16/2021 14:47:05.085"</f>
        <v>12/16/2021 14:47:05.085</v>
      </c>
      <c r="C1019" t="str">
        <f t="shared" si="46"/>
        <v>FFDFD3C0</v>
      </c>
      <c r="D1019" t="s">
        <v>124</v>
      </c>
      <c r="E1019">
        <v>10</v>
      </c>
      <c r="F1019">
        <v>1010</v>
      </c>
      <c r="G1019" t="s">
        <v>130</v>
      </c>
      <c r="J1019" t="s">
        <v>125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"14:47:04.828"</f>
        <v>14:47:04.828</v>
      </c>
      <c r="T1019" t="str">
        <f>"14:47:04.328"</f>
        <v>14:47:04.328</v>
      </c>
      <c r="U1019" t="str">
        <f t="shared" si="45"/>
        <v>A0F928</v>
      </c>
      <c r="V1019">
        <v>0</v>
      </c>
      <c r="W1019">
        <v>0</v>
      </c>
      <c r="X1019">
        <v>2</v>
      </c>
      <c r="Z1019">
        <v>0</v>
      </c>
      <c r="AA1019">
        <v>9</v>
      </c>
      <c r="AB1019">
        <v>3</v>
      </c>
      <c r="AC1019">
        <v>0</v>
      </c>
      <c r="AD1019">
        <v>10</v>
      </c>
      <c r="AE1019">
        <v>0</v>
      </c>
      <c r="AF1019">
        <v>0</v>
      </c>
      <c r="AG1019">
        <v>2</v>
      </c>
      <c r="AH1019">
        <v>1</v>
      </c>
      <c r="AI1019" t="s">
        <v>602</v>
      </c>
      <c r="AJ1019">
        <v>35.833519000000003</v>
      </c>
      <c r="AK1019" t="s">
        <v>603</v>
      </c>
      <c r="AL1019">
        <v>-83.943957999999995</v>
      </c>
      <c r="AM1019">
        <v>25</v>
      </c>
      <c r="AN1019">
        <v>1350</v>
      </c>
      <c r="AO1019" t="s">
        <v>118</v>
      </c>
      <c r="AP1019">
        <v>-65</v>
      </c>
      <c r="AQ1019">
        <v>89</v>
      </c>
      <c r="AR1019">
        <v>-576</v>
      </c>
      <c r="AZ1019">
        <v>300</v>
      </c>
      <c r="BA1019">
        <v>1</v>
      </c>
      <c r="BB1019" t="str">
        <f t="shared" si="47"/>
        <v xml:space="preserve">N162AM  </v>
      </c>
      <c r="BC1019">
        <v>1</v>
      </c>
      <c r="BE1019">
        <v>0</v>
      </c>
      <c r="BF1019">
        <v>0</v>
      </c>
      <c r="BG1019">
        <v>0</v>
      </c>
      <c r="BH1019">
        <v>1600</v>
      </c>
      <c r="BI1019">
        <v>1</v>
      </c>
      <c r="BJ1019">
        <v>1</v>
      </c>
      <c r="BK1019">
        <v>1</v>
      </c>
      <c r="BL1019">
        <v>0</v>
      </c>
      <c r="BO1019">
        <v>0</v>
      </c>
      <c r="BP1019">
        <v>0</v>
      </c>
      <c r="BW1019" t="str">
        <f>"14:47:04.833"</f>
        <v>14:47:04.833</v>
      </c>
      <c r="CJ1019">
        <v>2</v>
      </c>
      <c r="CK1019">
        <v>2</v>
      </c>
      <c r="CL1019">
        <v>0</v>
      </c>
      <c r="CM1019">
        <v>2</v>
      </c>
      <c r="CN1019">
        <v>0</v>
      </c>
      <c r="CO1019">
        <v>7</v>
      </c>
      <c r="CP1019" t="s">
        <v>119</v>
      </c>
      <c r="CQ1019">
        <v>232</v>
      </c>
      <c r="CR1019">
        <v>1</v>
      </c>
      <c r="CW1019">
        <v>15234765</v>
      </c>
      <c r="CY1019">
        <v>1</v>
      </c>
      <c r="CZ1019">
        <v>0</v>
      </c>
      <c r="DA1019">
        <v>1</v>
      </c>
      <c r="DB1019">
        <v>0</v>
      </c>
      <c r="DC1019">
        <v>0</v>
      </c>
      <c r="DD1019">
        <v>1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"12/16/2021 14:47:05.147"</f>
        <v>12/16/2021 14:47:05.147</v>
      </c>
      <c r="C1020" t="str">
        <f t="shared" si="46"/>
        <v>FFDFD3C0</v>
      </c>
      <c r="D1020" t="s">
        <v>124</v>
      </c>
      <c r="E1020">
        <v>5</v>
      </c>
      <c r="F1020">
        <v>1005</v>
      </c>
      <c r="G1020" t="s">
        <v>114</v>
      </c>
      <c r="J1020" t="s">
        <v>125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"14:47:04.828"</f>
        <v>14:47:04.828</v>
      </c>
      <c r="T1020" t="str">
        <f>"14:47:04.328"</f>
        <v>14:47:04.328</v>
      </c>
      <c r="U1020" t="str">
        <f t="shared" si="45"/>
        <v>A0F928</v>
      </c>
      <c r="V1020">
        <v>0</v>
      </c>
      <c r="W1020">
        <v>0</v>
      </c>
      <c r="X1020">
        <v>2</v>
      </c>
      <c r="Z1020">
        <v>0</v>
      </c>
      <c r="AA1020">
        <v>9</v>
      </c>
      <c r="AB1020">
        <v>3</v>
      </c>
      <c r="AC1020">
        <v>0</v>
      </c>
      <c r="AD1020">
        <v>10</v>
      </c>
      <c r="AE1020">
        <v>0</v>
      </c>
      <c r="AF1020">
        <v>3</v>
      </c>
      <c r="AG1020">
        <v>2</v>
      </c>
      <c r="AH1020">
        <v>1</v>
      </c>
      <c r="AI1020" t="s">
        <v>602</v>
      </c>
      <c r="AJ1020">
        <v>35.833519000000003</v>
      </c>
      <c r="AK1020" t="s">
        <v>603</v>
      </c>
      <c r="AL1020">
        <v>-83.943957999999995</v>
      </c>
      <c r="AM1020">
        <v>25</v>
      </c>
      <c r="AN1020">
        <v>1350</v>
      </c>
      <c r="AO1020" t="s">
        <v>118</v>
      </c>
      <c r="AP1020">
        <v>-65</v>
      </c>
      <c r="AQ1020">
        <v>89</v>
      </c>
      <c r="AR1020">
        <v>-576</v>
      </c>
      <c r="AZ1020">
        <v>300</v>
      </c>
      <c r="BA1020">
        <v>1</v>
      </c>
      <c r="BB1020" t="str">
        <f t="shared" si="47"/>
        <v xml:space="preserve">N162AM  </v>
      </c>
      <c r="BC1020">
        <v>1</v>
      </c>
      <c r="BE1020">
        <v>0</v>
      </c>
      <c r="BF1020">
        <v>0</v>
      </c>
      <c r="BG1020">
        <v>0</v>
      </c>
      <c r="BH1020">
        <v>1600</v>
      </c>
      <c r="BI1020">
        <v>1</v>
      </c>
      <c r="BJ1020">
        <v>1</v>
      </c>
      <c r="BK1020">
        <v>1</v>
      </c>
      <c r="BL1020">
        <v>0</v>
      </c>
      <c r="BO1020">
        <v>0</v>
      </c>
      <c r="BP1020">
        <v>0</v>
      </c>
      <c r="BW1020" t="str">
        <f>"14:47:04.833"</f>
        <v>14:47:04.833</v>
      </c>
      <c r="CJ1020">
        <v>3</v>
      </c>
      <c r="CK1020">
        <v>2</v>
      </c>
      <c r="CL1020">
        <v>0</v>
      </c>
      <c r="CM1020">
        <v>2</v>
      </c>
      <c r="CN1020">
        <v>0</v>
      </c>
      <c r="CO1020">
        <v>7</v>
      </c>
      <c r="CP1020" t="s">
        <v>119</v>
      </c>
      <c r="CQ1020">
        <v>232</v>
      </c>
      <c r="CR1020">
        <v>1</v>
      </c>
      <c r="CW1020">
        <v>15234765</v>
      </c>
      <c r="CY1020">
        <v>1</v>
      </c>
      <c r="CZ1020">
        <v>0</v>
      </c>
      <c r="DA1020">
        <v>1</v>
      </c>
      <c r="DB1020">
        <v>0</v>
      </c>
      <c r="DC1020">
        <v>0</v>
      </c>
      <c r="DD1020">
        <v>1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"12/16/2021 14:47:06.085"</f>
        <v>12/16/2021 14:47:06.085</v>
      </c>
      <c r="C1021" t="str">
        <f t="shared" si="46"/>
        <v>FFDFD3C0</v>
      </c>
      <c r="D1021" t="s">
        <v>124</v>
      </c>
      <c r="E1021">
        <v>10</v>
      </c>
      <c r="F1021">
        <v>1010</v>
      </c>
      <c r="G1021" t="s">
        <v>130</v>
      </c>
      <c r="J1021" t="s">
        <v>125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"14:47:05.891"</f>
        <v>14:47:05.891</v>
      </c>
      <c r="T1021" t="str">
        <f>"14:47:05.391"</f>
        <v>14:47:05.391</v>
      </c>
      <c r="U1021" t="str">
        <f t="shared" si="45"/>
        <v>A0F928</v>
      </c>
      <c r="V1021">
        <v>0</v>
      </c>
      <c r="W1021">
        <v>0</v>
      </c>
      <c r="X1021">
        <v>2</v>
      </c>
      <c r="Z1021">
        <v>0</v>
      </c>
      <c r="AA1021">
        <v>9</v>
      </c>
      <c r="AB1021">
        <v>3</v>
      </c>
      <c r="AC1021">
        <v>0</v>
      </c>
      <c r="AD1021">
        <v>10</v>
      </c>
      <c r="AE1021">
        <v>0</v>
      </c>
      <c r="AF1021">
        <v>0</v>
      </c>
      <c r="AG1021">
        <v>2</v>
      </c>
      <c r="AH1021">
        <v>1</v>
      </c>
      <c r="AI1021" t="s">
        <v>604</v>
      </c>
      <c r="AJ1021">
        <v>35.833947999999999</v>
      </c>
      <c r="AK1021" t="s">
        <v>605</v>
      </c>
      <c r="AL1021">
        <v>-83.944429999999997</v>
      </c>
      <c r="AM1021">
        <v>25</v>
      </c>
      <c r="AN1021">
        <v>1325</v>
      </c>
      <c r="AO1021" t="s">
        <v>118</v>
      </c>
      <c r="AP1021">
        <v>-67</v>
      </c>
      <c r="AQ1021">
        <v>86</v>
      </c>
      <c r="AR1021">
        <v>-512</v>
      </c>
      <c r="AZ1021">
        <v>300</v>
      </c>
      <c r="BA1021">
        <v>1</v>
      </c>
      <c r="BB1021" t="str">
        <f t="shared" si="47"/>
        <v xml:space="preserve">N162AM  </v>
      </c>
      <c r="BC1021">
        <v>1</v>
      </c>
      <c r="BE1021">
        <v>0</v>
      </c>
      <c r="BF1021">
        <v>0</v>
      </c>
      <c r="BG1021">
        <v>0</v>
      </c>
      <c r="BH1021">
        <v>1625</v>
      </c>
      <c r="BI1021">
        <v>1</v>
      </c>
      <c r="BJ1021">
        <v>1</v>
      </c>
      <c r="BK1021">
        <v>1</v>
      </c>
      <c r="BL1021">
        <v>0</v>
      </c>
      <c r="BO1021">
        <v>0</v>
      </c>
      <c r="BP1021">
        <v>0</v>
      </c>
      <c r="BW1021" t="str">
        <f>"14:47:05.891"</f>
        <v>14:47:05.891</v>
      </c>
      <c r="CJ1021">
        <v>2</v>
      </c>
      <c r="CK1021">
        <v>2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232</v>
      </c>
      <c r="CR1021">
        <v>1</v>
      </c>
      <c r="CW1021">
        <v>15236433</v>
      </c>
      <c r="CY1021">
        <v>1</v>
      </c>
      <c r="CZ1021">
        <v>0</v>
      </c>
      <c r="DA1021">
        <v>0</v>
      </c>
      <c r="DB1021">
        <v>0</v>
      </c>
      <c r="DC1021">
        <v>0</v>
      </c>
      <c r="DD1021">
        <v>1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"12/16/2021 14:47:06.100"</f>
        <v>12/16/2021 14:47:06.100</v>
      </c>
      <c r="C1022" t="str">
        <f t="shared" si="46"/>
        <v>FFDFD3C0</v>
      </c>
      <c r="D1022" t="s">
        <v>124</v>
      </c>
      <c r="E1022">
        <v>5</v>
      </c>
      <c r="F1022">
        <v>1005</v>
      </c>
      <c r="G1022" t="s">
        <v>114</v>
      </c>
      <c r="J1022" t="s">
        <v>125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"14:47:05.891"</f>
        <v>14:47:05.891</v>
      </c>
      <c r="T1022" t="str">
        <f>"14:47:05.391"</f>
        <v>14:47:05.391</v>
      </c>
      <c r="U1022" t="str">
        <f t="shared" si="45"/>
        <v>A0F928</v>
      </c>
      <c r="V1022">
        <v>0</v>
      </c>
      <c r="W1022">
        <v>0</v>
      </c>
      <c r="X1022">
        <v>2</v>
      </c>
      <c r="Z1022">
        <v>0</v>
      </c>
      <c r="AA1022">
        <v>9</v>
      </c>
      <c r="AB1022">
        <v>3</v>
      </c>
      <c r="AC1022">
        <v>0</v>
      </c>
      <c r="AD1022">
        <v>10</v>
      </c>
      <c r="AE1022">
        <v>0</v>
      </c>
      <c r="AF1022">
        <v>3</v>
      </c>
      <c r="AG1022">
        <v>2</v>
      </c>
      <c r="AH1022">
        <v>1</v>
      </c>
      <c r="AI1022" t="s">
        <v>604</v>
      </c>
      <c r="AJ1022">
        <v>35.833947999999999</v>
      </c>
      <c r="AK1022" t="s">
        <v>605</v>
      </c>
      <c r="AL1022">
        <v>-83.944429999999997</v>
      </c>
      <c r="AM1022">
        <v>25</v>
      </c>
      <c r="AN1022">
        <v>1325</v>
      </c>
      <c r="AO1022" t="s">
        <v>118</v>
      </c>
      <c r="AP1022">
        <v>-67</v>
      </c>
      <c r="AQ1022">
        <v>86</v>
      </c>
      <c r="AR1022">
        <v>-512</v>
      </c>
      <c r="AZ1022">
        <v>300</v>
      </c>
      <c r="BA1022">
        <v>1</v>
      </c>
      <c r="BB1022" t="str">
        <f t="shared" si="47"/>
        <v xml:space="preserve">N162AM  </v>
      </c>
      <c r="BC1022">
        <v>1</v>
      </c>
      <c r="BE1022">
        <v>0</v>
      </c>
      <c r="BF1022">
        <v>0</v>
      </c>
      <c r="BG1022">
        <v>0</v>
      </c>
      <c r="BH1022">
        <v>1625</v>
      </c>
      <c r="BI1022">
        <v>1</v>
      </c>
      <c r="BJ1022">
        <v>1</v>
      </c>
      <c r="BK1022">
        <v>1</v>
      </c>
      <c r="BL1022">
        <v>0</v>
      </c>
      <c r="BO1022">
        <v>0</v>
      </c>
      <c r="BP1022">
        <v>0</v>
      </c>
      <c r="BW1022" t="str">
        <f>"14:47:05.891"</f>
        <v>14:47:05.891</v>
      </c>
      <c r="CJ1022">
        <v>3</v>
      </c>
      <c r="CK1022">
        <v>2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232</v>
      </c>
      <c r="CR1022">
        <v>1</v>
      </c>
      <c r="CW1022">
        <v>15236433</v>
      </c>
      <c r="CY1022">
        <v>1</v>
      </c>
      <c r="CZ1022">
        <v>0</v>
      </c>
      <c r="DA1022">
        <v>1</v>
      </c>
      <c r="DB1022">
        <v>0</v>
      </c>
      <c r="DC1022">
        <v>0</v>
      </c>
      <c r="DD1022">
        <v>1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"12/16/2021 14:47:06.100"</f>
        <v>12/16/2021 14:47:06.100</v>
      </c>
      <c r="C1023" t="str">
        <f t="shared" si="46"/>
        <v>FFDFD3C0</v>
      </c>
      <c r="D1023" t="s">
        <v>133</v>
      </c>
      <c r="E1023">
        <v>44</v>
      </c>
      <c r="H1023">
        <v>131</v>
      </c>
      <c r="I1023" t="s">
        <v>134</v>
      </c>
      <c r="J1023" t="s">
        <v>135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"14:47:05.891"</f>
        <v>14:47:05.891</v>
      </c>
      <c r="T1023" t="str">
        <f>"14:47:05.391"</f>
        <v>14:47:05.391</v>
      </c>
      <c r="U1023" t="str">
        <f t="shared" si="45"/>
        <v>A0F928</v>
      </c>
      <c r="V1023">
        <v>0</v>
      </c>
      <c r="W1023">
        <v>0</v>
      </c>
      <c r="X1023">
        <v>2</v>
      </c>
      <c r="Z1023">
        <v>0</v>
      </c>
      <c r="AA1023">
        <v>9</v>
      </c>
      <c r="AB1023">
        <v>3</v>
      </c>
      <c r="AC1023">
        <v>0</v>
      </c>
      <c r="AD1023">
        <v>10</v>
      </c>
      <c r="AE1023">
        <v>0</v>
      </c>
      <c r="AF1023">
        <v>3</v>
      </c>
      <c r="AG1023">
        <v>2</v>
      </c>
      <c r="AH1023">
        <v>1</v>
      </c>
      <c r="AI1023" t="s">
        <v>604</v>
      </c>
      <c r="AJ1023">
        <v>35.833947999999999</v>
      </c>
      <c r="AK1023" t="s">
        <v>605</v>
      </c>
      <c r="AL1023">
        <v>-83.944429999999997</v>
      </c>
      <c r="AM1023">
        <v>25</v>
      </c>
      <c r="AN1023">
        <v>1325</v>
      </c>
      <c r="AO1023" t="s">
        <v>118</v>
      </c>
      <c r="AP1023">
        <v>-67</v>
      </c>
      <c r="AQ1023">
        <v>86</v>
      </c>
      <c r="AR1023">
        <v>-512</v>
      </c>
      <c r="AZ1023">
        <v>300</v>
      </c>
      <c r="BA1023">
        <v>1</v>
      </c>
      <c r="BB1023" t="str">
        <f t="shared" si="47"/>
        <v xml:space="preserve">N162AM  </v>
      </c>
      <c r="BC1023">
        <v>1</v>
      </c>
      <c r="BE1023">
        <v>0</v>
      </c>
      <c r="BF1023">
        <v>0</v>
      </c>
      <c r="BG1023">
        <v>0</v>
      </c>
      <c r="BH1023">
        <v>1625</v>
      </c>
      <c r="BI1023">
        <v>1</v>
      </c>
      <c r="BJ1023">
        <v>1</v>
      </c>
      <c r="BK1023">
        <v>1</v>
      </c>
      <c r="BL1023">
        <v>0</v>
      </c>
      <c r="BO1023">
        <v>0</v>
      </c>
      <c r="BP1023">
        <v>0</v>
      </c>
      <c r="BW1023" t="str">
        <f>"14:47:05.891"</f>
        <v>14:47:05.891</v>
      </c>
      <c r="CJ1023">
        <v>3</v>
      </c>
      <c r="CK1023">
        <v>2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232</v>
      </c>
      <c r="CR1023">
        <v>1</v>
      </c>
      <c r="CW1023">
        <v>15236433</v>
      </c>
      <c r="CY1023">
        <v>1</v>
      </c>
      <c r="CZ1023">
        <v>0</v>
      </c>
      <c r="DA1023">
        <v>1</v>
      </c>
      <c r="DB1023">
        <v>0</v>
      </c>
      <c r="DC1023">
        <v>0</v>
      </c>
      <c r="DD1023">
        <v>1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"12/16/2021 14:47:06.116"</f>
        <v>12/16/2021 14:47:06.116</v>
      </c>
      <c r="C1024" t="str">
        <f t="shared" si="46"/>
        <v>FFDFD3C0</v>
      </c>
      <c r="D1024" t="s">
        <v>113</v>
      </c>
      <c r="E1024">
        <v>8</v>
      </c>
      <c r="H1024">
        <v>176</v>
      </c>
      <c r="I1024" t="s">
        <v>114</v>
      </c>
      <c r="J1024" t="s">
        <v>115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"14:47:05.891"</f>
        <v>14:47:05.891</v>
      </c>
      <c r="T1024" t="str">
        <f>"14:47:05.391"</f>
        <v>14:47:05.391</v>
      </c>
      <c r="U1024" t="str">
        <f t="shared" si="45"/>
        <v>A0F928</v>
      </c>
      <c r="V1024">
        <v>0</v>
      </c>
      <c r="W1024">
        <v>0</v>
      </c>
      <c r="X1024">
        <v>2</v>
      </c>
      <c r="Z1024">
        <v>0</v>
      </c>
      <c r="AA1024">
        <v>9</v>
      </c>
      <c r="AB1024">
        <v>3</v>
      </c>
      <c r="AC1024">
        <v>0</v>
      </c>
      <c r="AD1024">
        <v>10</v>
      </c>
      <c r="AE1024">
        <v>0</v>
      </c>
      <c r="AF1024">
        <v>3</v>
      </c>
      <c r="AG1024">
        <v>2</v>
      </c>
      <c r="AH1024">
        <v>1</v>
      </c>
      <c r="AI1024" t="s">
        <v>604</v>
      </c>
      <c r="AJ1024">
        <v>35.833947999999999</v>
      </c>
      <c r="AK1024" t="s">
        <v>605</v>
      </c>
      <c r="AL1024">
        <v>-83.944429999999997</v>
      </c>
      <c r="AM1024">
        <v>25</v>
      </c>
      <c r="AN1024">
        <v>1325</v>
      </c>
      <c r="AO1024" t="s">
        <v>118</v>
      </c>
      <c r="AP1024">
        <v>-67</v>
      </c>
      <c r="AQ1024">
        <v>86</v>
      </c>
      <c r="AR1024">
        <v>-512</v>
      </c>
      <c r="AZ1024">
        <v>300</v>
      </c>
      <c r="BA1024">
        <v>1</v>
      </c>
      <c r="BB1024" t="str">
        <f t="shared" si="47"/>
        <v xml:space="preserve">N162AM  </v>
      </c>
      <c r="BC1024">
        <v>1</v>
      </c>
      <c r="BE1024">
        <v>0</v>
      </c>
      <c r="BF1024">
        <v>0</v>
      </c>
      <c r="BG1024">
        <v>0</v>
      </c>
      <c r="BH1024">
        <v>1625</v>
      </c>
      <c r="BI1024">
        <v>1</v>
      </c>
      <c r="BJ1024">
        <v>1</v>
      </c>
      <c r="BK1024">
        <v>1</v>
      </c>
      <c r="BL1024">
        <v>0</v>
      </c>
      <c r="BO1024">
        <v>0</v>
      </c>
      <c r="BP1024">
        <v>0</v>
      </c>
      <c r="BW1024" t="str">
        <f>"14:47:05.891"</f>
        <v>14:47:05.891</v>
      </c>
      <c r="CJ1024">
        <v>3</v>
      </c>
      <c r="CK1024">
        <v>2</v>
      </c>
      <c r="CL1024">
        <v>0</v>
      </c>
      <c r="CM1024">
        <v>2</v>
      </c>
      <c r="CN1024">
        <v>0</v>
      </c>
      <c r="CO1024">
        <v>7</v>
      </c>
      <c r="CP1024" t="s">
        <v>119</v>
      </c>
      <c r="CQ1024">
        <v>232</v>
      </c>
      <c r="CR1024">
        <v>1</v>
      </c>
      <c r="CW1024">
        <v>15236433</v>
      </c>
      <c r="CY1024">
        <v>1</v>
      </c>
      <c r="CZ1024">
        <v>0</v>
      </c>
      <c r="DA1024">
        <v>1</v>
      </c>
      <c r="DB1024">
        <v>0</v>
      </c>
      <c r="DC1024">
        <v>0</v>
      </c>
      <c r="DD1024">
        <v>1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"12/16/2021 14:47:07.429"</f>
        <v>12/16/2021 14:47:07.429</v>
      </c>
      <c r="C1025" t="str">
        <f t="shared" si="46"/>
        <v>FFDFD3C0</v>
      </c>
      <c r="D1025" t="s">
        <v>133</v>
      </c>
      <c r="E1025">
        <v>44</v>
      </c>
      <c r="H1025">
        <v>131</v>
      </c>
      <c r="I1025" t="s">
        <v>134</v>
      </c>
      <c r="J1025" t="s">
        <v>135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"14:47:06.906"</f>
        <v>14:47:06.906</v>
      </c>
      <c r="T1025" t="str">
        <f>"14:47:06.506"</f>
        <v>14:47:06.506</v>
      </c>
      <c r="U1025" t="str">
        <f t="shared" si="45"/>
        <v>A0F928</v>
      </c>
      <c r="V1025">
        <v>0</v>
      </c>
      <c r="W1025">
        <v>0</v>
      </c>
      <c r="X1025">
        <v>2</v>
      </c>
      <c r="Z1025">
        <v>0</v>
      </c>
      <c r="AA1025">
        <v>9</v>
      </c>
      <c r="AB1025">
        <v>3</v>
      </c>
      <c r="AC1025">
        <v>0</v>
      </c>
      <c r="AD1025">
        <v>10</v>
      </c>
      <c r="AE1025">
        <v>0</v>
      </c>
      <c r="AF1025">
        <v>3</v>
      </c>
      <c r="AG1025">
        <v>2</v>
      </c>
      <c r="AH1025">
        <v>1</v>
      </c>
      <c r="AI1025" t="s">
        <v>606</v>
      </c>
      <c r="AJ1025">
        <v>35.834333999999998</v>
      </c>
      <c r="AK1025" t="s">
        <v>607</v>
      </c>
      <c r="AL1025">
        <v>-83.944773999999995</v>
      </c>
      <c r="AM1025">
        <v>25</v>
      </c>
      <c r="AN1025">
        <v>1325</v>
      </c>
      <c r="AO1025" t="s">
        <v>118</v>
      </c>
      <c r="AP1025">
        <v>-69</v>
      </c>
      <c r="AQ1025">
        <v>82</v>
      </c>
      <c r="AR1025">
        <v>-384</v>
      </c>
      <c r="AZ1025">
        <v>300</v>
      </c>
      <c r="BA1025">
        <v>1</v>
      </c>
      <c r="BB1025" t="str">
        <f t="shared" si="47"/>
        <v xml:space="preserve">N162AM  </v>
      </c>
      <c r="BC1025">
        <v>1</v>
      </c>
      <c r="BE1025">
        <v>0</v>
      </c>
      <c r="BF1025">
        <v>0</v>
      </c>
      <c r="BG1025">
        <v>0</v>
      </c>
      <c r="BH1025">
        <v>1600</v>
      </c>
      <c r="BI1025">
        <v>1</v>
      </c>
      <c r="BJ1025">
        <v>1</v>
      </c>
      <c r="BK1025">
        <v>1</v>
      </c>
      <c r="BL1025">
        <v>0</v>
      </c>
      <c r="BO1025">
        <v>0</v>
      </c>
      <c r="BP1025">
        <v>0</v>
      </c>
      <c r="BW1025" t="str">
        <f>"14:47:06.912"</f>
        <v>14:47:06.912</v>
      </c>
      <c r="CJ1025">
        <v>3</v>
      </c>
      <c r="CK1025">
        <v>2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232</v>
      </c>
      <c r="CR1025">
        <v>1</v>
      </c>
      <c r="CW1025">
        <v>15238074</v>
      </c>
      <c r="CY1025">
        <v>1</v>
      </c>
      <c r="CZ1025">
        <v>0</v>
      </c>
      <c r="DA1025">
        <v>0</v>
      </c>
      <c r="DB1025">
        <v>0</v>
      </c>
      <c r="DC1025">
        <v>0</v>
      </c>
      <c r="DD1025">
        <v>1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"12/16/2021 14:47:07.507"</f>
        <v>12/16/2021 14:47:07.507</v>
      </c>
      <c r="C1026" t="str">
        <f t="shared" si="46"/>
        <v>FFDFD3C0</v>
      </c>
      <c r="D1026" t="s">
        <v>113</v>
      </c>
      <c r="E1026">
        <v>8</v>
      </c>
      <c r="H1026">
        <v>176</v>
      </c>
      <c r="I1026" t="s">
        <v>114</v>
      </c>
      <c r="J1026" t="s">
        <v>115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"14:47:06.906"</f>
        <v>14:47:06.906</v>
      </c>
      <c r="T1026" t="str">
        <f>"14:47:06.506"</f>
        <v>14:47:06.506</v>
      </c>
      <c r="U1026" t="str">
        <f t="shared" ref="U1026:U1089" si="48">"A0F928"</f>
        <v>A0F928</v>
      </c>
      <c r="V1026">
        <v>0</v>
      </c>
      <c r="W1026">
        <v>0</v>
      </c>
      <c r="X1026">
        <v>2</v>
      </c>
      <c r="Z1026">
        <v>0</v>
      </c>
      <c r="AA1026">
        <v>9</v>
      </c>
      <c r="AB1026">
        <v>3</v>
      </c>
      <c r="AC1026">
        <v>0</v>
      </c>
      <c r="AD1026">
        <v>10</v>
      </c>
      <c r="AE1026">
        <v>0</v>
      </c>
      <c r="AF1026">
        <v>3</v>
      </c>
      <c r="AG1026">
        <v>2</v>
      </c>
      <c r="AH1026">
        <v>1</v>
      </c>
      <c r="AI1026" t="s">
        <v>606</v>
      </c>
      <c r="AJ1026">
        <v>35.834333999999998</v>
      </c>
      <c r="AK1026" t="s">
        <v>607</v>
      </c>
      <c r="AL1026">
        <v>-83.944773999999995</v>
      </c>
      <c r="AM1026">
        <v>25</v>
      </c>
      <c r="AN1026">
        <v>1325</v>
      </c>
      <c r="AO1026" t="s">
        <v>118</v>
      </c>
      <c r="AP1026">
        <v>-69</v>
      </c>
      <c r="AQ1026">
        <v>82</v>
      </c>
      <c r="AR1026">
        <v>-384</v>
      </c>
      <c r="AZ1026">
        <v>300</v>
      </c>
      <c r="BA1026">
        <v>1</v>
      </c>
      <c r="BB1026" t="str">
        <f t="shared" si="47"/>
        <v xml:space="preserve">N162AM  </v>
      </c>
      <c r="BC1026">
        <v>1</v>
      </c>
      <c r="BE1026">
        <v>0</v>
      </c>
      <c r="BF1026">
        <v>0</v>
      </c>
      <c r="BG1026">
        <v>0</v>
      </c>
      <c r="BH1026">
        <v>1600</v>
      </c>
      <c r="BI1026">
        <v>1</v>
      </c>
      <c r="BJ1026">
        <v>1</v>
      </c>
      <c r="BK1026">
        <v>1</v>
      </c>
      <c r="BL1026">
        <v>0</v>
      </c>
      <c r="BO1026">
        <v>0</v>
      </c>
      <c r="BP1026">
        <v>0</v>
      </c>
      <c r="BW1026" t="str">
        <f>"14:47:06.912"</f>
        <v>14:47:06.912</v>
      </c>
      <c r="CJ1026">
        <v>3</v>
      </c>
      <c r="CK1026">
        <v>2</v>
      </c>
      <c r="CL1026">
        <v>0</v>
      </c>
      <c r="CM1026">
        <v>2</v>
      </c>
      <c r="CN1026">
        <v>0</v>
      </c>
      <c r="CO1026">
        <v>7</v>
      </c>
      <c r="CP1026" t="s">
        <v>119</v>
      </c>
      <c r="CQ1026">
        <v>232</v>
      </c>
      <c r="CR1026">
        <v>1</v>
      </c>
      <c r="CW1026">
        <v>15238074</v>
      </c>
      <c r="CY1026">
        <v>1</v>
      </c>
      <c r="CZ1026">
        <v>0</v>
      </c>
      <c r="DA1026">
        <v>1</v>
      </c>
      <c r="DB1026">
        <v>0</v>
      </c>
      <c r="DC1026">
        <v>0</v>
      </c>
      <c r="DD1026">
        <v>1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"12/16/2021 14:47:07.507"</f>
        <v>12/16/2021 14:47:07.507</v>
      </c>
      <c r="C1027" t="str">
        <f t="shared" si="46"/>
        <v>FFDFD3C0</v>
      </c>
      <c r="D1027" t="s">
        <v>124</v>
      </c>
      <c r="E1027">
        <v>10</v>
      </c>
      <c r="F1027">
        <v>1010</v>
      </c>
      <c r="G1027" t="s">
        <v>130</v>
      </c>
      <c r="J1027" t="s">
        <v>125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"14:47:06.906"</f>
        <v>14:47:06.906</v>
      </c>
      <c r="T1027" t="str">
        <f>"14:47:06.506"</f>
        <v>14:47:06.506</v>
      </c>
      <c r="U1027" t="str">
        <f t="shared" si="48"/>
        <v>A0F928</v>
      </c>
      <c r="V1027">
        <v>0</v>
      </c>
      <c r="W1027">
        <v>0</v>
      </c>
      <c r="X1027">
        <v>2</v>
      </c>
      <c r="Z1027">
        <v>0</v>
      </c>
      <c r="AA1027">
        <v>9</v>
      </c>
      <c r="AB1027">
        <v>3</v>
      </c>
      <c r="AC1027">
        <v>0</v>
      </c>
      <c r="AD1027">
        <v>10</v>
      </c>
      <c r="AE1027">
        <v>0</v>
      </c>
      <c r="AF1027">
        <v>0</v>
      </c>
      <c r="AG1027">
        <v>2</v>
      </c>
      <c r="AH1027">
        <v>1</v>
      </c>
      <c r="AI1027" t="s">
        <v>606</v>
      </c>
      <c r="AJ1027">
        <v>35.834333999999998</v>
      </c>
      <c r="AK1027" t="s">
        <v>607</v>
      </c>
      <c r="AL1027">
        <v>-83.944773999999995</v>
      </c>
      <c r="AM1027">
        <v>25</v>
      </c>
      <c r="AN1027">
        <v>1325</v>
      </c>
      <c r="AO1027" t="s">
        <v>118</v>
      </c>
      <c r="AP1027">
        <v>-69</v>
      </c>
      <c r="AQ1027">
        <v>82</v>
      </c>
      <c r="AR1027">
        <v>-384</v>
      </c>
      <c r="AZ1027">
        <v>300</v>
      </c>
      <c r="BA1027">
        <v>1</v>
      </c>
      <c r="BB1027" t="str">
        <f t="shared" si="47"/>
        <v xml:space="preserve">N162AM  </v>
      </c>
      <c r="BC1027">
        <v>1</v>
      </c>
      <c r="BE1027">
        <v>0</v>
      </c>
      <c r="BF1027">
        <v>0</v>
      </c>
      <c r="BG1027">
        <v>0</v>
      </c>
      <c r="BH1027">
        <v>1600</v>
      </c>
      <c r="BI1027">
        <v>1</v>
      </c>
      <c r="BJ1027">
        <v>1</v>
      </c>
      <c r="BK1027">
        <v>1</v>
      </c>
      <c r="BL1027">
        <v>0</v>
      </c>
      <c r="BO1027">
        <v>0</v>
      </c>
      <c r="BP1027">
        <v>0</v>
      </c>
      <c r="BW1027" t="str">
        <f>"14:47:06.912"</f>
        <v>14:47:06.912</v>
      </c>
      <c r="CJ1027">
        <v>2</v>
      </c>
      <c r="CK1027">
        <v>2</v>
      </c>
      <c r="CL1027">
        <v>0</v>
      </c>
      <c r="CM1027">
        <v>2</v>
      </c>
      <c r="CN1027">
        <v>0</v>
      </c>
      <c r="CO1027">
        <v>7</v>
      </c>
      <c r="CP1027" t="s">
        <v>119</v>
      </c>
      <c r="CQ1027">
        <v>232</v>
      </c>
      <c r="CR1027">
        <v>1</v>
      </c>
      <c r="CW1027">
        <v>15238074</v>
      </c>
      <c r="CY1027">
        <v>1</v>
      </c>
      <c r="CZ1027">
        <v>0</v>
      </c>
      <c r="DA1027">
        <v>1</v>
      </c>
      <c r="DB1027">
        <v>0</v>
      </c>
      <c r="DC1027">
        <v>0</v>
      </c>
      <c r="DD1027">
        <v>1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"12/16/2021 14:47:07.507"</f>
        <v>12/16/2021 14:47:07.507</v>
      </c>
      <c r="C1028" t="str">
        <f t="shared" si="46"/>
        <v>FFDFD3C0</v>
      </c>
      <c r="D1028" t="s">
        <v>124</v>
      </c>
      <c r="E1028">
        <v>5</v>
      </c>
      <c r="F1028">
        <v>1005</v>
      </c>
      <c r="G1028" t="s">
        <v>114</v>
      </c>
      <c r="J1028" t="s">
        <v>125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"14:47:06.906"</f>
        <v>14:47:06.906</v>
      </c>
      <c r="T1028" t="str">
        <f>"14:47:06.506"</f>
        <v>14:47:06.506</v>
      </c>
      <c r="U1028" t="str">
        <f t="shared" si="48"/>
        <v>A0F928</v>
      </c>
      <c r="V1028">
        <v>0</v>
      </c>
      <c r="W1028">
        <v>0</v>
      </c>
      <c r="X1028">
        <v>2</v>
      </c>
      <c r="Z1028">
        <v>0</v>
      </c>
      <c r="AA1028">
        <v>9</v>
      </c>
      <c r="AB1028">
        <v>3</v>
      </c>
      <c r="AC1028">
        <v>0</v>
      </c>
      <c r="AD1028">
        <v>10</v>
      </c>
      <c r="AE1028">
        <v>0</v>
      </c>
      <c r="AF1028">
        <v>3</v>
      </c>
      <c r="AG1028">
        <v>2</v>
      </c>
      <c r="AH1028">
        <v>1</v>
      </c>
      <c r="AI1028" t="s">
        <v>606</v>
      </c>
      <c r="AJ1028">
        <v>35.834333999999998</v>
      </c>
      <c r="AK1028" t="s">
        <v>607</v>
      </c>
      <c r="AL1028">
        <v>-83.944773999999995</v>
      </c>
      <c r="AM1028">
        <v>25</v>
      </c>
      <c r="AN1028">
        <v>1325</v>
      </c>
      <c r="AO1028" t="s">
        <v>118</v>
      </c>
      <c r="AP1028">
        <v>-69</v>
      </c>
      <c r="AQ1028">
        <v>82</v>
      </c>
      <c r="AR1028">
        <v>-384</v>
      </c>
      <c r="AZ1028">
        <v>300</v>
      </c>
      <c r="BA1028">
        <v>1</v>
      </c>
      <c r="BB1028" t="str">
        <f t="shared" si="47"/>
        <v xml:space="preserve">N162AM  </v>
      </c>
      <c r="BC1028">
        <v>1</v>
      </c>
      <c r="BE1028">
        <v>0</v>
      </c>
      <c r="BF1028">
        <v>0</v>
      </c>
      <c r="BG1028">
        <v>0</v>
      </c>
      <c r="BH1028">
        <v>1600</v>
      </c>
      <c r="BI1028">
        <v>1</v>
      </c>
      <c r="BJ1028">
        <v>1</v>
      </c>
      <c r="BK1028">
        <v>1</v>
      </c>
      <c r="BL1028">
        <v>0</v>
      </c>
      <c r="BO1028">
        <v>0</v>
      </c>
      <c r="BP1028">
        <v>0</v>
      </c>
      <c r="BW1028" t="str">
        <f>"14:47:06.912"</f>
        <v>14:47:06.912</v>
      </c>
      <c r="CJ1028">
        <v>3</v>
      </c>
      <c r="CK1028">
        <v>2</v>
      </c>
      <c r="CL1028">
        <v>0</v>
      </c>
      <c r="CM1028">
        <v>2</v>
      </c>
      <c r="CN1028">
        <v>0</v>
      </c>
      <c r="CO1028">
        <v>7</v>
      </c>
      <c r="CP1028" t="s">
        <v>119</v>
      </c>
      <c r="CQ1028">
        <v>232</v>
      </c>
      <c r="CR1028">
        <v>1</v>
      </c>
      <c r="CW1028">
        <v>15238074</v>
      </c>
      <c r="CY1028">
        <v>1</v>
      </c>
      <c r="CZ1028">
        <v>0</v>
      </c>
      <c r="DA1028">
        <v>1</v>
      </c>
      <c r="DB1028">
        <v>0</v>
      </c>
      <c r="DC1028">
        <v>0</v>
      </c>
      <c r="DD1028">
        <v>1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"12/16/2021 14:47:08.257"</f>
        <v>12/16/2021 14:47:08.257</v>
      </c>
      <c r="C1029" t="str">
        <f t="shared" si="46"/>
        <v>FFDFD3C0</v>
      </c>
      <c r="D1029" t="s">
        <v>124</v>
      </c>
      <c r="E1029">
        <v>5</v>
      </c>
      <c r="F1029">
        <v>1005</v>
      </c>
      <c r="G1029" t="s">
        <v>114</v>
      </c>
      <c r="J1029" t="s">
        <v>125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"14:47:07.922"</f>
        <v>14:47:07.922</v>
      </c>
      <c r="T1029" t="str">
        <f>"14:47:07.522"</f>
        <v>14:47:07.522</v>
      </c>
      <c r="U1029" t="str">
        <f t="shared" si="48"/>
        <v>A0F928</v>
      </c>
      <c r="V1029">
        <v>0</v>
      </c>
      <c r="W1029">
        <v>0</v>
      </c>
      <c r="X1029">
        <v>2</v>
      </c>
      <c r="Z1029">
        <v>0</v>
      </c>
      <c r="AA1029">
        <v>9</v>
      </c>
      <c r="AB1029">
        <v>3</v>
      </c>
      <c r="AC1029">
        <v>0</v>
      </c>
      <c r="AD1029">
        <v>10</v>
      </c>
      <c r="AE1029">
        <v>0</v>
      </c>
      <c r="AF1029">
        <v>3</v>
      </c>
      <c r="AG1029">
        <v>2</v>
      </c>
      <c r="AH1029">
        <v>1</v>
      </c>
      <c r="AI1029" t="s">
        <v>608</v>
      </c>
      <c r="AJ1029">
        <v>35.834699000000001</v>
      </c>
      <c r="AK1029" t="s">
        <v>609</v>
      </c>
      <c r="AL1029">
        <v>-83.945181000000005</v>
      </c>
      <c r="AM1029">
        <v>25</v>
      </c>
      <c r="AN1029">
        <v>1325</v>
      </c>
      <c r="AO1029" t="s">
        <v>118</v>
      </c>
      <c r="AP1029">
        <v>-70</v>
      </c>
      <c r="AQ1029">
        <v>80</v>
      </c>
      <c r="AR1029">
        <v>-384</v>
      </c>
      <c r="AZ1029">
        <v>300</v>
      </c>
      <c r="BA1029">
        <v>1</v>
      </c>
      <c r="BB1029" t="str">
        <f t="shared" si="47"/>
        <v xml:space="preserve">N162AM  </v>
      </c>
      <c r="BC1029">
        <v>1</v>
      </c>
      <c r="BE1029">
        <v>0</v>
      </c>
      <c r="BF1029">
        <v>0</v>
      </c>
      <c r="BG1029">
        <v>0</v>
      </c>
      <c r="BH1029">
        <v>1575</v>
      </c>
      <c r="BI1029">
        <v>1</v>
      </c>
      <c r="BJ1029">
        <v>1</v>
      </c>
      <c r="BK1029">
        <v>1</v>
      </c>
      <c r="BL1029">
        <v>0</v>
      </c>
      <c r="BO1029">
        <v>0</v>
      </c>
      <c r="BP1029">
        <v>0</v>
      </c>
      <c r="BW1029" t="str">
        <f>"14:47:07.926"</f>
        <v>14:47:07.926</v>
      </c>
      <c r="CJ1029">
        <v>3</v>
      </c>
      <c r="CK1029">
        <v>2</v>
      </c>
      <c r="CL1029">
        <v>0</v>
      </c>
      <c r="CM1029">
        <v>2</v>
      </c>
      <c r="CN1029">
        <v>0</v>
      </c>
      <c r="CO1029">
        <v>7</v>
      </c>
      <c r="CP1029" t="s">
        <v>119</v>
      </c>
      <c r="CQ1029">
        <v>232</v>
      </c>
      <c r="CR1029">
        <v>1</v>
      </c>
      <c r="CW1029">
        <v>15239594</v>
      </c>
      <c r="CY1029">
        <v>1</v>
      </c>
      <c r="CZ1029">
        <v>0</v>
      </c>
      <c r="DA1029">
        <v>0</v>
      </c>
      <c r="DB1029">
        <v>0</v>
      </c>
      <c r="DC1029">
        <v>0</v>
      </c>
      <c r="DD1029">
        <v>1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"12/16/2021 14:47:08.257"</f>
        <v>12/16/2021 14:47:08.257</v>
      </c>
      <c r="C1030" t="str">
        <f t="shared" si="46"/>
        <v>FFDFD3C0</v>
      </c>
      <c r="D1030" t="s">
        <v>133</v>
      </c>
      <c r="E1030">
        <v>44</v>
      </c>
      <c r="H1030">
        <v>131</v>
      </c>
      <c r="I1030" t="s">
        <v>134</v>
      </c>
      <c r="J1030" t="s">
        <v>135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"14:47:07.922"</f>
        <v>14:47:07.922</v>
      </c>
      <c r="T1030" t="str">
        <f>"14:47:07.522"</f>
        <v>14:47:07.522</v>
      </c>
      <c r="U1030" t="str">
        <f t="shared" si="48"/>
        <v>A0F928</v>
      </c>
      <c r="V1030">
        <v>0</v>
      </c>
      <c r="W1030">
        <v>0</v>
      </c>
      <c r="X1030">
        <v>2</v>
      </c>
      <c r="Z1030">
        <v>0</v>
      </c>
      <c r="AA1030">
        <v>9</v>
      </c>
      <c r="AB1030">
        <v>3</v>
      </c>
      <c r="AC1030">
        <v>0</v>
      </c>
      <c r="AD1030">
        <v>10</v>
      </c>
      <c r="AE1030">
        <v>0</v>
      </c>
      <c r="AF1030">
        <v>3</v>
      </c>
      <c r="AG1030">
        <v>2</v>
      </c>
      <c r="AH1030">
        <v>1</v>
      </c>
      <c r="AI1030" t="s">
        <v>608</v>
      </c>
      <c r="AJ1030">
        <v>35.834699000000001</v>
      </c>
      <c r="AK1030" t="s">
        <v>609</v>
      </c>
      <c r="AL1030">
        <v>-83.945181000000005</v>
      </c>
      <c r="AM1030">
        <v>25</v>
      </c>
      <c r="AN1030">
        <v>1325</v>
      </c>
      <c r="AO1030" t="s">
        <v>118</v>
      </c>
      <c r="AP1030">
        <v>-70</v>
      </c>
      <c r="AQ1030">
        <v>80</v>
      </c>
      <c r="AR1030">
        <v>-384</v>
      </c>
      <c r="AZ1030">
        <v>300</v>
      </c>
      <c r="BA1030">
        <v>1</v>
      </c>
      <c r="BB1030" t="str">
        <f t="shared" si="47"/>
        <v xml:space="preserve">N162AM  </v>
      </c>
      <c r="BC1030">
        <v>1</v>
      </c>
      <c r="BE1030">
        <v>0</v>
      </c>
      <c r="BF1030">
        <v>0</v>
      </c>
      <c r="BG1030">
        <v>0</v>
      </c>
      <c r="BH1030">
        <v>1575</v>
      </c>
      <c r="BI1030">
        <v>1</v>
      </c>
      <c r="BJ1030">
        <v>1</v>
      </c>
      <c r="BK1030">
        <v>1</v>
      </c>
      <c r="BL1030">
        <v>0</v>
      </c>
      <c r="BO1030">
        <v>0</v>
      </c>
      <c r="BP1030">
        <v>0</v>
      </c>
      <c r="BW1030" t="str">
        <f>"14:47:07.926"</f>
        <v>14:47:07.926</v>
      </c>
      <c r="CJ1030">
        <v>3</v>
      </c>
      <c r="CK1030">
        <v>2</v>
      </c>
      <c r="CL1030">
        <v>0</v>
      </c>
      <c r="CM1030">
        <v>2</v>
      </c>
      <c r="CN1030">
        <v>0</v>
      </c>
      <c r="CO1030">
        <v>7</v>
      </c>
      <c r="CP1030" t="s">
        <v>119</v>
      </c>
      <c r="CQ1030">
        <v>232</v>
      </c>
      <c r="CR1030">
        <v>1</v>
      </c>
      <c r="CW1030">
        <v>15239594</v>
      </c>
      <c r="CY1030">
        <v>1</v>
      </c>
      <c r="CZ1030">
        <v>0</v>
      </c>
      <c r="DA1030">
        <v>1</v>
      </c>
      <c r="DB1030">
        <v>0</v>
      </c>
      <c r="DC1030">
        <v>0</v>
      </c>
      <c r="DD1030">
        <v>1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"12/16/2021 14:47:08.257"</f>
        <v>12/16/2021 14:47:08.257</v>
      </c>
      <c r="C1031" t="str">
        <f t="shared" si="46"/>
        <v>FFDFD3C0</v>
      </c>
      <c r="D1031" t="s">
        <v>113</v>
      </c>
      <c r="E1031">
        <v>8</v>
      </c>
      <c r="H1031">
        <v>176</v>
      </c>
      <c r="I1031" t="s">
        <v>114</v>
      </c>
      <c r="J1031" t="s">
        <v>115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"14:47:07.922"</f>
        <v>14:47:07.922</v>
      </c>
      <c r="T1031" t="str">
        <f>"14:47:07.522"</f>
        <v>14:47:07.522</v>
      </c>
      <c r="U1031" t="str">
        <f t="shared" si="48"/>
        <v>A0F928</v>
      </c>
      <c r="V1031">
        <v>0</v>
      </c>
      <c r="W1031">
        <v>0</v>
      </c>
      <c r="X1031">
        <v>2</v>
      </c>
      <c r="Z1031">
        <v>0</v>
      </c>
      <c r="AA1031">
        <v>9</v>
      </c>
      <c r="AB1031">
        <v>3</v>
      </c>
      <c r="AC1031">
        <v>0</v>
      </c>
      <c r="AD1031">
        <v>10</v>
      </c>
      <c r="AE1031">
        <v>0</v>
      </c>
      <c r="AF1031">
        <v>3</v>
      </c>
      <c r="AG1031">
        <v>2</v>
      </c>
      <c r="AH1031">
        <v>1</v>
      </c>
      <c r="AI1031" t="s">
        <v>608</v>
      </c>
      <c r="AJ1031">
        <v>35.834699000000001</v>
      </c>
      <c r="AK1031" t="s">
        <v>609</v>
      </c>
      <c r="AL1031">
        <v>-83.945181000000005</v>
      </c>
      <c r="AM1031">
        <v>25</v>
      </c>
      <c r="AN1031">
        <v>1325</v>
      </c>
      <c r="AO1031" t="s">
        <v>118</v>
      </c>
      <c r="AP1031">
        <v>-70</v>
      </c>
      <c r="AQ1031">
        <v>80</v>
      </c>
      <c r="AR1031">
        <v>-384</v>
      </c>
      <c r="AZ1031">
        <v>300</v>
      </c>
      <c r="BA1031">
        <v>1</v>
      </c>
      <c r="BB1031" t="str">
        <f t="shared" si="47"/>
        <v xml:space="preserve">N162AM  </v>
      </c>
      <c r="BC1031">
        <v>1</v>
      </c>
      <c r="BE1031">
        <v>0</v>
      </c>
      <c r="BF1031">
        <v>0</v>
      </c>
      <c r="BG1031">
        <v>0</v>
      </c>
      <c r="BH1031">
        <v>1575</v>
      </c>
      <c r="BI1031">
        <v>1</v>
      </c>
      <c r="BJ1031">
        <v>1</v>
      </c>
      <c r="BK1031">
        <v>1</v>
      </c>
      <c r="BL1031">
        <v>0</v>
      </c>
      <c r="BO1031">
        <v>0</v>
      </c>
      <c r="BP1031">
        <v>0</v>
      </c>
      <c r="BW1031" t="str">
        <f>"14:47:07.926"</f>
        <v>14:47:07.926</v>
      </c>
      <c r="CJ1031">
        <v>3</v>
      </c>
      <c r="CK1031">
        <v>2</v>
      </c>
      <c r="CL1031">
        <v>0</v>
      </c>
      <c r="CM1031">
        <v>2</v>
      </c>
      <c r="CN1031">
        <v>0</v>
      </c>
      <c r="CO1031">
        <v>7</v>
      </c>
      <c r="CP1031" t="s">
        <v>119</v>
      </c>
      <c r="CQ1031">
        <v>232</v>
      </c>
      <c r="CR1031">
        <v>1</v>
      </c>
      <c r="CW1031">
        <v>15239594</v>
      </c>
      <c r="CY1031">
        <v>1</v>
      </c>
      <c r="CZ1031">
        <v>0</v>
      </c>
      <c r="DA1031">
        <v>1</v>
      </c>
      <c r="DB1031">
        <v>0</v>
      </c>
      <c r="DC1031">
        <v>0</v>
      </c>
      <c r="DD1031">
        <v>1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"12/16/2021 14:47:08.257"</f>
        <v>12/16/2021 14:47:08.257</v>
      </c>
      <c r="C1032" t="str">
        <f t="shared" si="46"/>
        <v>FFDFD3C0</v>
      </c>
      <c r="D1032" t="s">
        <v>124</v>
      </c>
      <c r="E1032">
        <v>10</v>
      </c>
      <c r="F1032">
        <v>1010</v>
      </c>
      <c r="G1032" t="s">
        <v>130</v>
      </c>
      <c r="J1032" t="s">
        <v>125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"14:47:07.922"</f>
        <v>14:47:07.922</v>
      </c>
      <c r="T1032" t="str">
        <f>"14:47:07.522"</f>
        <v>14:47:07.522</v>
      </c>
      <c r="U1032" t="str">
        <f t="shared" si="48"/>
        <v>A0F928</v>
      </c>
      <c r="V1032">
        <v>0</v>
      </c>
      <c r="W1032">
        <v>0</v>
      </c>
      <c r="X1032">
        <v>2</v>
      </c>
      <c r="Z1032">
        <v>0</v>
      </c>
      <c r="AA1032">
        <v>9</v>
      </c>
      <c r="AB1032">
        <v>3</v>
      </c>
      <c r="AC1032">
        <v>0</v>
      </c>
      <c r="AD1032">
        <v>10</v>
      </c>
      <c r="AE1032">
        <v>0</v>
      </c>
      <c r="AF1032">
        <v>0</v>
      </c>
      <c r="AG1032">
        <v>2</v>
      </c>
      <c r="AH1032">
        <v>1</v>
      </c>
      <c r="AI1032" t="s">
        <v>608</v>
      </c>
      <c r="AJ1032">
        <v>35.834699000000001</v>
      </c>
      <c r="AK1032" t="s">
        <v>609</v>
      </c>
      <c r="AL1032">
        <v>-83.945181000000005</v>
      </c>
      <c r="AM1032">
        <v>25</v>
      </c>
      <c r="AN1032">
        <v>1325</v>
      </c>
      <c r="AO1032" t="s">
        <v>118</v>
      </c>
      <c r="AP1032">
        <v>-70</v>
      </c>
      <c r="AQ1032">
        <v>80</v>
      </c>
      <c r="AR1032">
        <v>-384</v>
      </c>
      <c r="AZ1032">
        <v>300</v>
      </c>
      <c r="BA1032">
        <v>1</v>
      </c>
      <c r="BB1032" t="str">
        <f t="shared" si="47"/>
        <v xml:space="preserve">N162AM  </v>
      </c>
      <c r="BC1032">
        <v>1</v>
      </c>
      <c r="BE1032">
        <v>0</v>
      </c>
      <c r="BF1032">
        <v>0</v>
      </c>
      <c r="BG1032">
        <v>0</v>
      </c>
      <c r="BH1032">
        <v>1575</v>
      </c>
      <c r="BI1032">
        <v>1</v>
      </c>
      <c r="BJ1032">
        <v>1</v>
      </c>
      <c r="BK1032">
        <v>1</v>
      </c>
      <c r="BL1032">
        <v>0</v>
      </c>
      <c r="BO1032">
        <v>0</v>
      </c>
      <c r="BP1032">
        <v>0</v>
      </c>
      <c r="BW1032" t="str">
        <f>"14:47:07.926"</f>
        <v>14:47:07.926</v>
      </c>
      <c r="CJ1032">
        <v>2</v>
      </c>
      <c r="CK1032">
        <v>2</v>
      </c>
      <c r="CL1032">
        <v>0</v>
      </c>
      <c r="CM1032">
        <v>2</v>
      </c>
      <c r="CN1032">
        <v>0</v>
      </c>
      <c r="CO1032">
        <v>7</v>
      </c>
      <c r="CP1032" t="s">
        <v>119</v>
      </c>
      <c r="CQ1032">
        <v>232</v>
      </c>
      <c r="CR1032">
        <v>1</v>
      </c>
      <c r="CW1032">
        <v>15239594</v>
      </c>
      <c r="CY1032">
        <v>1</v>
      </c>
      <c r="CZ1032">
        <v>0</v>
      </c>
      <c r="DA1032">
        <v>1</v>
      </c>
      <c r="DB1032">
        <v>0</v>
      </c>
      <c r="DC1032">
        <v>0</v>
      </c>
      <c r="DD1032">
        <v>1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"12/16/2021 14:47:09.132"</f>
        <v>12/16/2021 14:47:09.132</v>
      </c>
      <c r="C1033" t="str">
        <f t="shared" si="46"/>
        <v>FFDFD3C0</v>
      </c>
      <c r="D1033" t="s">
        <v>124</v>
      </c>
      <c r="E1033">
        <v>10</v>
      </c>
      <c r="F1033">
        <v>1010</v>
      </c>
      <c r="G1033" t="s">
        <v>130</v>
      </c>
      <c r="J1033" t="s">
        <v>125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"14:47:08.906"</f>
        <v>14:47:08.906</v>
      </c>
      <c r="T1033" t="str">
        <f>"14:47:08.506"</f>
        <v>14:47:08.506</v>
      </c>
      <c r="U1033" t="str">
        <f t="shared" si="48"/>
        <v>A0F928</v>
      </c>
      <c r="V1033">
        <v>0</v>
      </c>
      <c r="W1033">
        <v>0</v>
      </c>
      <c r="X1033">
        <v>2</v>
      </c>
      <c r="Z1033">
        <v>0</v>
      </c>
      <c r="AA1033">
        <v>9</v>
      </c>
      <c r="AB1033">
        <v>3</v>
      </c>
      <c r="AC1033">
        <v>0</v>
      </c>
      <c r="AD1033">
        <v>10</v>
      </c>
      <c r="AE1033">
        <v>0</v>
      </c>
      <c r="AF1033">
        <v>0</v>
      </c>
      <c r="AG1033">
        <v>2</v>
      </c>
      <c r="AH1033">
        <v>1</v>
      </c>
      <c r="AI1033" t="s">
        <v>610</v>
      </c>
      <c r="AJ1033">
        <v>35.835084999999999</v>
      </c>
      <c r="AK1033" t="s">
        <v>611</v>
      </c>
      <c r="AL1033">
        <v>-83.945588999999998</v>
      </c>
      <c r="AM1033">
        <v>25</v>
      </c>
      <c r="AN1033">
        <v>1325</v>
      </c>
      <c r="AO1033" t="s">
        <v>118</v>
      </c>
      <c r="AP1033">
        <v>-71</v>
      </c>
      <c r="AQ1033">
        <v>78</v>
      </c>
      <c r="AR1033">
        <v>-320</v>
      </c>
      <c r="AZ1033">
        <v>300</v>
      </c>
      <c r="BA1033">
        <v>1</v>
      </c>
      <c r="BB1033" t="str">
        <f t="shared" si="47"/>
        <v xml:space="preserve">N162AM  </v>
      </c>
      <c r="BC1033">
        <v>1</v>
      </c>
      <c r="BE1033">
        <v>0</v>
      </c>
      <c r="BF1033">
        <v>0</v>
      </c>
      <c r="BG1033">
        <v>0</v>
      </c>
      <c r="BH1033">
        <v>1600</v>
      </c>
      <c r="BI1033">
        <v>1</v>
      </c>
      <c r="BJ1033">
        <v>1</v>
      </c>
      <c r="BK1033">
        <v>1</v>
      </c>
      <c r="BL1033">
        <v>0</v>
      </c>
      <c r="BO1033">
        <v>0</v>
      </c>
      <c r="BP1033">
        <v>0</v>
      </c>
      <c r="BW1033" t="str">
        <f>"14:47:08.911"</f>
        <v>14:47:08.911</v>
      </c>
      <c r="CJ1033">
        <v>2</v>
      </c>
      <c r="CK1033">
        <v>2</v>
      </c>
      <c r="CL1033">
        <v>0</v>
      </c>
      <c r="CM1033">
        <v>2</v>
      </c>
      <c r="CN1033">
        <v>0</v>
      </c>
      <c r="CO1033">
        <v>7</v>
      </c>
      <c r="CP1033" t="s">
        <v>119</v>
      </c>
      <c r="CQ1033">
        <v>232</v>
      </c>
      <c r="CR1033">
        <v>1</v>
      </c>
      <c r="CW1033">
        <v>15240916</v>
      </c>
      <c r="CY1033">
        <v>1</v>
      </c>
      <c r="CZ1033">
        <v>0</v>
      </c>
      <c r="DA1033">
        <v>0</v>
      </c>
      <c r="DB1033">
        <v>0</v>
      </c>
      <c r="DC1033">
        <v>0</v>
      </c>
      <c r="DD1033">
        <v>1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"12/16/2021 14:47:09.179"</f>
        <v>12/16/2021 14:47:09.179</v>
      </c>
      <c r="C1034" t="str">
        <f t="shared" si="46"/>
        <v>FFDFD3C0</v>
      </c>
      <c r="D1034" t="s">
        <v>133</v>
      </c>
      <c r="E1034">
        <v>44</v>
      </c>
      <c r="H1034">
        <v>131</v>
      </c>
      <c r="I1034" t="s">
        <v>134</v>
      </c>
      <c r="J1034" t="s">
        <v>135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"14:47:08.906"</f>
        <v>14:47:08.906</v>
      </c>
      <c r="T1034" t="str">
        <f>"14:47:08.506"</f>
        <v>14:47:08.506</v>
      </c>
      <c r="U1034" t="str">
        <f t="shared" si="48"/>
        <v>A0F928</v>
      </c>
      <c r="V1034">
        <v>0</v>
      </c>
      <c r="W1034">
        <v>0</v>
      </c>
      <c r="X1034">
        <v>2</v>
      </c>
      <c r="Z1034">
        <v>0</v>
      </c>
      <c r="AA1034">
        <v>9</v>
      </c>
      <c r="AB1034">
        <v>3</v>
      </c>
      <c r="AC1034">
        <v>0</v>
      </c>
      <c r="AD1034">
        <v>10</v>
      </c>
      <c r="AE1034">
        <v>0</v>
      </c>
      <c r="AF1034">
        <v>3</v>
      </c>
      <c r="AG1034">
        <v>2</v>
      </c>
      <c r="AH1034">
        <v>1</v>
      </c>
      <c r="AI1034" t="s">
        <v>610</v>
      </c>
      <c r="AJ1034">
        <v>35.835084999999999</v>
      </c>
      <c r="AK1034" t="s">
        <v>611</v>
      </c>
      <c r="AL1034">
        <v>-83.945588999999998</v>
      </c>
      <c r="AM1034">
        <v>25</v>
      </c>
      <c r="AN1034">
        <v>1325</v>
      </c>
      <c r="AO1034" t="s">
        <v>118</v>
      </c>
      <c r="AP1034">
        <v>-71</v>
      </c>
      <c r="AQ1034">
        <v>78</v>
      </c>
      <c r="AR1034">
        <v>-320</v>
      </c>
      <c r="AZ1034">
        <v>300</v>
      </c>
      <c r="BA1034">
        <v>1</v>
      </c>
      <c r="BB1034" t="str">
        <f t="shared" si="47"/>
        <v xml:space="preserve">N162AM  </v>
      </c>
      <c r="BC1034">
        <v>1</v>
      </c>
      <c r="BE1034">
        <v>0</v>
      </c>
      <c r="BF1034">
        <v>0</v>
      </c>
      <c r="BG1034">
        <v>0</v>
      </c>
      <c r="BH1034">
        <v>1600</v>
      </c>
      <c r="BI1034">
        <v>1</v>
      </c>
      <c r="BJ1034">
        <v>1</v>
      </c>
      <c r="BK1034">
        <v>1</v>
      </c>
      <c r="BL1034">
        <v>0</v>
      </c>
      <c r="BO1034">
        <v>0</v>
      </c>
      <c r="BP1034">
        <v>0</v>
      </c>
      <c r="BW1034" t="str">
        <f>"14:47:08.911"</f>
        <v>14:47:08.911</v>
      </c>
      <c r="CJ1034">
        <v>3</v>
      </c>
      <c r="CK1034">
        <v>2</v>
      </c>
      <c r="CL1034">
        <v>0</v>
      </c>
      <c r="CM1034">
        <v>2</v>
      </c>
      <c r="CN1034">
        <v>0</v>
      </c>
      <c r="CO1034">
        <v>7</v>
      </c>
      <c r="CP1034" t="s">
        <v>119</v>
      </c>
      <c r="CQ1034">
        <v>232</v>
      </c>
      <c r="CR1034">
        <v>1</v>
      </c>
      <c r="CW1034">
        <v>15240916</v>
      </c>
      <c r="CY1034">
        <v>1</v>
      </c>
      <c r="CZ1034">
        <v>0</v>
      </c>
      <c r="DA1034">
        <v>1</v>
      </c>
      <c r="DB1034">
        <v>0</v>
      </c>
      <c r="DC1034">
        <v>0</v>
      </c>
      <c r="DD1034">
        <v>1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"12/16/2021 14:47:09.179"</f>
        <v>12/16/2021 14:47:09.179</v>
      </c>
      <c r="C1035" t="str">
        <f t="shared" si="46"/>
        <v>FFDFD3C0</v>
      </c>
      <c r="D1035" t="s">
        <v>113</v>
      </c>
      <c r="E1035">
        <v>8</v>
      </c>
      <c r="H1035">
        <v>176</v>
      </c>
      <c r="I1035" t="s">
        <v>114</v>
      </c>
      <c r="J1035" t="s">
        <v>115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"14:47:08.906"</f>
        <v>14:47:08.906</v>
      </c>
      <c r="T1035" t="str">
        <f>"14:47:08.506"</f>
        <v>14:47:08.506</v>
      </c>
      <c r="U1035" t="str">
        <f t="shared" si="48"/>
        <v>A0F928</v>
      </c>
      <c r="V1035">
        <v>0</v>
      </c>
      <c r="W1035">
        <v>0</v>
      </c>
      <c r="X1035">
        <v>2</v>
      </c>
      <c r="Z1035">
        <v>0</v>
      </c>
      <c r="AA1035">
        <v>9</v>
      </c>
      <c r="AB1035">
        <v>3</v>
      </c>
      <c r="AC1035">
        <v>0</v>
      </c>
      <c r="AD1035">
        <v>10</v>
      </c>
      <c r="AE1035">
        <v>0</v>
      </c>
      <c r="AF1035">
        <v>3</v>
      </c>
      <c r="AG1035">
        <v>2</v>
      </c>
      <c r="AH1035">
        <v>1</v>
      </c>
      <c r="AI1035" t="s">
        <v>610</v>
      </c>
      <c r="AJ1035">
        <v>35.835084999999999</v>
      </c>
      <c r="AK1035" t="s">
        <v>611</v>
      </c>
      <c r="AL1035">
        <v>-83.945588999999998</v>
      </c>
      <c r="AM1035">
        <v>25</v>
      </c>
      <c r="AN1035">
        <v>1325</v>
      </c>
      <c r="AO1035" t="s">
        <v>118</v>
      </c>
      <c r="AP1035">
        <v>-71</v>
      </c>
      <c r="AQ1035">
        <v>78</v>
      </c>
      <c r="AR1035">
        <v>-320</v>
      </c>
      <c r="AZ1035">
        <v>300</v>
      </c>
      <c r="BA1035">
        <v>1</v>
      </c>
      <c r="BB1035" t="str">
        <f t="shared" si="47"/>
        <v xml:space="preserve">N162AM  </v>
      </c>
      <c r="BC1035">
        <v>1</v>
      </c>
      <c r="BE1035">
        <v>0</v>
      </c>
      <c r="BF1035">
        <v>0</v>
      </c>
      <c r="BG1035">
        <v>0</v>
      </c>
      <c r="BH1035">
        <v>1600</v>
      </c>
      <c r="BI1035">
        <v>1</v>
      </c>
      <c r="BJ1035">
        <v>1</v>
      </c>
      <c r="BK1035">
        <v>1</v>
      </c>
      <c r="BL1035">
        <v>0</v>
      </c>
      <c r="BO1035">
        <v>0</v>
      </c>
      <c r="BP1035">
        <v>0</v>
      </c>
      <c r="BW1035" t="str">
        <f>"14:47:08.911"</f>
        <v>14:47:08.911</v>
      </c>
      <c r="CJ1035">
        <v>3</v>
      </c>
      <c r="CK1035">
        <v>2</v>
      </c>
      <c r="CL1035">
        <v>0</v>
      </c>
      <c r="CM1035">
        <v>2</v>
      </c>
      <c r="CN1035">
        <v>0</v>
      </c>
      <c r="CO1035">
        <v>7</v>
      </c>
      <c r="CP1035" t="s">
        <v>119</v>
      </c>
      <c r="CQ1035">
        <v>232</v>
      </c>
      <c r="CR1035">
        <v>1</v>
      </c>
      <c r="CW1035">
        <v>15240916</v>
      </c>
      <c r="CY1035">
        <v>1</v>
      </c>
      <c r="CZ1035">
        <v>0</v>
      </c>
      <c r="DA1035">
        <v>1</v>
      </c>
      <c r="DB1035">
        <v>0</v>
      </c>
      <c r="DC1035">
        <v>0</v>
      </c>
      <c r="DD1035">
        <v>1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"12/16/2021 14:47:09.179"</f>
        <v>12/16/2021 14:47:09.179</v>
      </c>
      <c r="C1036" t="str">
        <f t="shared" ref="C1036:C1099" si="49">"FFDFD3C0"</f>
        <v>FFDFD3C0</v>
      </c>
      <c r="D1036" t="s">
        <v>124</v>
      </c>
      <c r="E1036">
        <v>5</v>
      </c>
      <c r="F1036">
        <v>1005</v>
      </c>
      <c r="G1036" t="s">
        <v>114</v>
      </c>
      <c r="J1036" t="s">
        <v>125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"14:47:08.906"</f>
        <v>14:47:08.906</v>
      </c>
      <c r="T1036" t="str">
        <f>"14:47:08.506"</f>
        <v>14:47:08.506</v>
      </c>
      <c r="U1036" t="str">
        <f t="shared" si="48"/>
        <v>A0F928</v>
      </c>
      <c r="V1036">
        <v>0</v>
      </c>
      <c r="W1036">
        <v>0</v>
      </c>
      <c r="X1036">
        <v>2</v>
      </c>
      <c r="Z1036">
        <v>0</v>
      </c>
      <c r="AA1036">
        <v>9</v>
      </c>
      <c r="AB1036">
        <v>3</v>
      </c>
      <c r="AC1036">
        <v>0</v>
      </c>
      <c r="AD1036">
        <v>10</v>
      </c>
      <c r="AE1036">
        <v>0</v>
      </c>
      <c r="AF1036">
        <v>3</v>
      </c>
      <c r="AG1036">
        <v>2</v>
      </c>
      <c r="AH1036">
        <v>1</v>
      </c>
      <c r="AI1036" t="s">
        <v>610</v>
      </c>
      <c r="AJ1036">
        <v>35.835084999999999</v>
      </c>
      <c r="AK1036" t="s">
        <v>611</v>
      </c>
      <c r="AL1036">
        <v>-83.945588999999998</v>
      </c>
      <c r="AM1036">
        <v>25</v>
      </c>
      <c r="AN1036">
        <v>1325</v>
      </c>
      <c r="AO1036" t="s">
        <v>118</v>
      </c>
      <c r="AP1036">
        <v>-71</v>
      </c>
      <c r="AQ1036">
        <v>78</v>
      </c>
      <c r="AR1036">
        <v>-320</v>
      </c>
      <c r="AZ1036">
        <v>300</v>
      </c>
      <c r="BA1036">
        <v>1</v>
      </c>
      <c r="BB1036" t="str">
        <f t="shared" ref="BB1036:BB1099" si="50">"N162AM  "</f>
        <v xml:space="preserve">N162AM  </v>
      </c>
      <c r="BC1036">
        <v>1</v>
      </c>
      <c r="BE1036">
        <v>0</v>
      </c>
      <c r="BF1036">
        <v>0</v>
      </c>
      <c r="BG1036">
        <v>0</v>
      </c>
      <c r="BH1036">
        <v>1600</v>
      </c>
      <c r="BI1036">
        <v>1</v>
      </c>
      <c r="BJ1036">
        <v>1</v>
      </c>
      <c r="BK1036">
        <v>1</v>
      </c>
      <c r="BL1036">
        <v>0</v>
      </c>
      <c r="BO1036">
        <v>0</v>
      </c>
      <c r="BP1036">
        <v>0</v>
      </c>
      <c r="BW1036" t="str">
        <f>"14:47:08.911"</f>
        <v>14:47:08.911</v>
      </c>
      <c r="CJ1036">
        <v>3</v>
      </c>
      <c r="CK1036">
        <v>2</v>
      </c>
      <c r="CL1036">
        <v>0</v>
      </c>
      <c r="CM1036">
        <v>2</v>
      </c>
      <c r="CN1036">
        <v>0</v>
      </c>
      <c r="CO1036">
        <v>7</v>
      </c>
      <c r="CP1036" t="s">
        <v>119</v>
      </c>
      <c r="CQ1036">
        <v>232</v>
      </c>
      <c r="CR1036">
        <v>1</v>
      </c>
      <c r="CW1036">
        <v>15240916</v>
      </c>
      <c r="CY1036">
        <v>1</v>
      </c>
      <c r="CZ1036">
        <v>0</v>
      </c>
      <c r="DA1036">
        <v>1</v>
      </c>
      <c r="DB1036">
        <v>0</v>
      </c>
      <c r="DC1036">
        <v>0</v>
      </c>
      <c r="DD1036">
        <v>1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"12/16/2021 14:47:11.054"</f>
        <v>12/16/2021 14:47:11.054</v>
      </c>
      <c r="C1037" t="str">
        <f t="shared" si="49"/>
        <v>FFDFD3C0</v>
      </c>
      <c r="D1037" t="s">
        <v>133</v>
      </c>
      <c r="E1037">
        <v>44</v>
      </c>
      <c r="H1037">
        <v>131</v>
      </c>
      <c r="I1037" t="s">
        <v>134</v>
      </c>
      <c r="J1037" t="s">
        <v>135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"14:47:10.844"</f>
        <v>14:47:10.844</v>
      </c>
      <c r="T1037" t="str">
        <f>"14:47:10.344"</f>
        <v>14:47:10.344</v>
      </c>
      <c r="U1037" t="str">
        <f t="shared" si="48"/>
        <v>A0F928</v>
      </c>
      <c r="V1037">
        <v>0</v>
      </c>
      <c r="W1037">
        <v>0</v>
      </c>
      <c r="X1037">
        <v>2</v>
      </c>
      <c r="Z1037">
        <v>0</v>
      </c>
      <c r="AA1037">
        <v>9</v>
      </c>
      <c r="AB1037">
        <v>3</v>
      </c>
      <c r="AC1037">
        <v>0</v>
      </c>
      <c r="AD1037">
        <v>10</v>
      </c>
      <c r="AE1037">
        <v>0</v>
      </c>
      <c r="AF1037">
        <v>3</v>
      </c>
      <c r="AG1037">
        <v>2</v>
      </c>
      <c r="AH1037">
        <v>1</v>
      </c>
      <c r="AI1037" t="s">
        <v>612</v>
      </c>
      <c r="AJ1037">
        <v>35.835771999999999</v>
      </c>
      <c r="AK1037" t="s">
        <v>393</v>
      </c>
      <c r="AL1037">
        <v>-83.946426000000002</v>
      </c>
      <c r="AM1037">
        <v>25</v>
      </c>
      <c r="AN1037">
        <v>1325</v>
      </c>
      <c r="AO1037" t="s">
        <v>118</v>
      </c>
      <c r="AP1037">
        <v>-71</v>
      </c>
      <c r="AQ1037">
        <v>74</v>
      </c>
      <c r="AR1037">
        <v>-128</v>
      </c>
      <c r="AZ1037">
        <v>300</v>
      </c>
      <c r="BA1037">
        <v>1</v>
      </c>
      <c r="BB1037" t="str">
        <f t="shared" si="50"/>
        <v xml:space="preserve">N162AM  </v>
      </c>
      <c r="BC1037">
        <v>1</v>
      </c>
      <c r="BE1037">
        <v>0</v>
      </c>
      <c r="BF1037">
        <v>0</v>
      </c>
      <c r="BG1037">
        <v>0</v>
      </c>
      <c r="BH1037">
        <v>1575</v>
      </c>
      <c r="BI1037">
        <v>1</v>
      </c>
      <c r="BJ1037">
        <v>1</v>
      </c>
      <c r="BK1037">
        <v>1</v>
      </c>
      <c r="BL1037">
        <v>0</v>
      </c>
      <c r="BO1037">
        <v>0</v>
      </c>
      <c r="BP1037">
        <v>0</v>
      </c>
      <c r="BW1037" t="str">
        <f>"14:47:10.851"</f>
        <v>14:47:10.851</v>
      </c>
      <c r="CJ1037">
        <v>3</v>
      </c>
      <c r="CK1037">
        <v>2</v>
      </c>
      <c r="CL1037">
        <v>0</v>
      </c>
      <c r="CM1037">
        <v>2</v>
      </c>
      <c r="CN1037">
        <v>0</v>
      </c>
      <c r="CO1037">
        <v>6</v>
      </c>
      <c r="CP1037" t="s">
        <v>119</v>
      </c>
      <c r="CQ1037">
        <v>232</v>
      </c>
      <c r="CR1037">
        <v>1</v>
      </c>
      <c r="CW1037">
        <v>15243821</v>
      </c>
      <c r="CY1037">
        <v>1</v>
      </c>
      <c r="CZ1037">
        <v>0</v>
      </c>
      <c r="DA1037">
        <v>0</v>
      </c>
      <c r="DB1037">
        <v>0</v>
      </c>
      <c r="DC1037">
        <v>0</v>
      </c>
      <c r="DD1037">
        <v>1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"12/16/2021 14:47:11.070"</f>
        <v>12/16/2021 14:47:11.070</v>
      </c>
      <c r="C1038" t="str">
        <f t="shared" si="49"/>
        <v>FFDFD3C0</v>
      </c>
      <c r="D1038" t="s">
        <v>124</v>
      </c>
      <c r="E1038">
        <v>10</v>
      </c>
      <c r="F1038">
        <v>1010</v>
      </c>
      <c r="G1038" t="s">
        <v>130</v>
      </c>
      <c r="J1038" t="s">
        <v>125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"14:47:10.844"</f>
        <v>14:47:10.844</v>
      </c>
      <c r="T1038" t="str">
        <f>"14:47:10.344"</f>
        <v>14:47:10.344</v>
      </c>
      <c r="U1038" t="str">
        <f t="shared" si="48"/>
        <v>A0F928</v>
      </c>
      <c r="V1038">
        <v>0</v>
      </c>
      <c r="W1038">
        <v>0</v>
      </c>
      <c r="X1038">
        <v>2</v>
      </c>
      <c r="Z1038">
        <v>0</v>
      </c>
      <c r="AA1038">
        <v>9</v>
      </c>
      <c r="AB1038">
        <v>3</v>
      </c>
      <c r="AC1038">
        <v>0</v>
      </c>
      <c r="AD1038">
        <v>10</v>
      </c>
      <c r="AE1038">
        <v>0</v>
      </c>
      <c r="AF1038">
        <v>0</v>
      </c>
      <c r="AG1038">
        <v>2</v>
      </c>
      <c r="AH1038">
        <v>1</v>
      </c>
      <c r="AI1038" t="s">
        <v>612</v>
      </c>
      <c r="AJ1038">
        <v>35.835771999999999</v>
      </c>
      <c r="AK1038" t="s">
        <v>393</v>
      </c>
      <c r="AL1038">
        <v>-83.946426000000002</v>
      </c>
      <c r="AM1038">
        <v>25</v>
      </c>
      <c r="AN1038">
        <v>1325</v>
      </c>
      <c r="AO1038" t="s">
        <v>118</v>
      </c>
      <c r="AP1038">
        <v>-71</v>
      </c>
      <c r="AQ1038">
        <v>74</v>
      </c>
      <c r="AR1038">
        <v>-128</v>
      </c>
      <c r="AZ1038">
        <v>300</v>
      </c>
      <c r="BA1038">
        <v>1</v>
      </c>
      <c r="BB1038" t="str">
        <f t="shared" si="50"/>
        <v xml:space="preserve">N162AM  </v>
      </c>
      <c r="BC1038">
        <v>1</v>
      </c>
      <c r="BE1038">
        <v>0</v>
      </c>
      <c r="BF1038">
        <v>0</v>
      </c>
      <c r="BG1038">
        <v>0</v>
      </c>
      <c r="BH1038">
        <v>1575</v>
      </c>
      <c r="BI1038">
        <v>1</v>
      </c>
      <c r="BJ1038">
        <v>1</v>
      </c>
      <c r="BK1038">
        <v>1</v>
      </c>
      <c r="BL1038">
        <v>0</v>
      </c>
      <c r="BO1038">
        <v>0</v>
      </c>
      <c r="BP1038">
        <v>0</v>
      </c>
      <c r="BW1038" t="str">
        <f>"14:47:10.851"</f>
        <v>14:47:10.851</v>
      </c>
      <c r="CJ1038">
        <v>2</v>
      </c>
      <c r="CK1038">
        <v>2</v>
      </c>
      <c r="CL1038">
        <v>0</v>
      </c>
      <c r="CM1038">
        <v>2</v>
      </c>
      <c r="CN1038">
        <v>0</v>
      </c>
      <c r="CO1038">
        <v>6</v>
      </c>
      <c r="CP1038" t="s">
        <v>119</v>
      </c>
      <c r="CQ1038">
        <v>232</v>
      </c>
      <c r="CR1038">
        <v>1</v>
      </c>
      <c r="CW1038">
        <v>15243821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1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"12/16/2021 14:47:11.070"</f>
        <v>12/16/2021 14:47:11.070</v>
      </c>
      <c r="C1039" t="str">
        <f t="shared" si="49"/>
        <v>FFDFD3C0</v>
      </c>
      <c r="D1039" t="s">
        <v>113</v>
      </c>
      <c r="E1039">
        <v>8</v>
      </c>
      <c r="H1039">
        <v>176</v>
      </c>
      <c r="I1039" t="s">
        <v>114</v>
      </c>
      <c r="J1039" t="s">
        <v>115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"14:47:10.844"</f>
        <v>14:47:10.844</v>
      </c>
      <c r="T1039" t="str">
        <f>"14:47:10.344"</f>
        <v>14:47:10.344</v>
      </c>
      <c r="U1039" t="str">
        <f t="shared" si="48"/>
        <v>A0F928</v>
      </c>
      <c r="V1039">
        <v>0</v>
      </c>
      <c r="W1039">
        <v>0</v>
      </c>
      <c r="X1039">
        <v>2</v>
      </c>
      <c r="Z1039">
        <v>0</v>
      </c>
      <c r="AA1039">
        <v>9</v>
      </c>
      <c r="AB1039">
        <v>3</v>
      </c>
      <c r="AC1039">
        <v>0</v>
      </c>
      <c r="AD1039">
        <v>10</v>
      </c>
      <c r="AE1039">
        <v>0</v>
      </c>
      <c r="AF1039">
        <v>3</v>
      </c>
      <c r="AG1039">
        <v>2</v>
      </c>
      <c r="AH1039">
        <v>1</v>
      </c>
      <c r="AI1039" t="s">
        <v>612</v>
      </c>
      <c r="AJ1039">
        <v>35.835771999999999</v>
      </c>
      <c r="AK1039" t="s">
        <v>393</v>
      </c>
      <c r="AL1039">
        <v>-83.946426000000002</v>
      </c>
      <c r="AM1039">
        <v>25</v>
      </c>
      <c r="AN1039">
        <v>1325</v>
      </c>
      <c r="AO1039" t="s">
        <v>118</v>
      </c>
      <c r="AP1039">
        <v>-71</v>
      </c>
      <c r="AQ1039">
        <v>74</v>
      </c>
      <c r="AR1039">
        <v>-128</v>
      </c>
      <c r="AZ1039">
        <v>300</v>
      </c>
      <c r="BA1039">
        <v>1</v>
      </c>
      <c r="BB1039" t="str">
        <f t="shared" si="50"/>
        <v xml:space="preserve">N162AM  </v>
      </c>
      <c r="BC1039">
        <v>1</v>
      </c>
      <c r="BE1039">
        <v>0</v>
      </c>
      <c r="BF1039">
        <v>0</v>
      </c>
      <c r="BG1039">
        <v>0</v>
      </c>
      <c r="BH1039">
        <v>1575</v>
      </c>
      <c r="BI1039">
        <v>1</v>
      </c>
      <c r="BJ1039">
        <v>1</v>
      </c>
      <c r="BK1039">
        <v>1</v>
      </c>
      <c r="BL1039">
        <v>0</v>
      </c>
      <c r="BO1039">
        <v>0</v>
      </c>
      <c r="BP1039">
        <v>0</v>
      </c>
      <c r="BW1039" t="str">
        <f>"14:47:10.851"</f>
        <v>14:47:10.851</v>
      </c>
      <c r="CJ1039">
        <v>3</v>
      </c>
      <c r="CK1039">
        <v>2</v>
      </c>
      <c r="CL1039">
        <v>0</v>
      </c>
      <c r="CM1039">
        <v>2</v>
      </c>
      <c r="CN1039">
        <v>0</v>
      </c>
      <c r="CO1039">
        <v>6</v>
      </c>
      <c r="CP1039" t="s">
        <v>119</v>
      </c>
      <c r="CQ1039">
        <v>232</v>
      </c>
      <c r="CR1039">
        <v>1</v>
      </c>
      <c r="CW1039">
        <v>15243821</v>
      </c>
      <c r="CY1039">
        <v>1</v>
      </c>
      <c r="CZ1039">
        <v>0</v>
      </c>
      <c r="DA1039">
        <v>1</v>
      </c>
      <c r="DB1039">
        <v>0</v>
      </c>
      <c r="DC1039">
        <v>0</v>
      </c>
      <c r="DD1039">
        <v>1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"12/16/2021 14:47:11.070"</f>
        <v>12/16/2021 14:47:11.070</v>
      </c>
      <c r="C1040" t="str">
        <f t="shared" si="49"/>
        <v>FFDFD3C0</v>
      </c>
      <c r="D1040" t="s">
        <v>124</v>
      </c>
      <c r="E1040">
        <v>5</v>
      </c>
      <c r="F1040">
        <v>1005</v>
      </c>
      <c r="G1040" t="s">
        <v>114</v>
      </c>
      <c r="J1040" t="s">
        <v>125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"14:47:10.844"</f>
        <v>14:47:10.844</v>
      </c>
      <c r="T1040" t="str">
        <f>"14:47:10.344"</f>
        <v>14:47:10.344</v>
      </c>
      <c r="U1040" t="str">
        <f t="shared" si="48"/>
        <v>A0F928</v>
      </c>
      <c r="V1040">
        <v>0</v>
      </c>
      <c r="W1040">
        <v>0</v>
      </c>
      <c r="X1040">
        <v>2</v>
      </c>
      <c r="Z1040">
        <v>0</v>
      </c>
      <c r="AA1040">
        <v>9</v>
      </c>
      <c r="AB1040">
        <v>3</v>
      </c>
      <c r="AC1040">
        <v>0</v>
      </c>
      <c r="AD1040">
        <v>10</v>
      </c>
      <c r="AE1040">
        <v>0</v>
      </c>
      <c r="AF1040">
        <v>3</v>
      </c>
      <c r="AG1040">
        <v>2</v>
      </c>
      <c r="AH1040">
        <v>1</v>
      </c>
      <c r="AI1040" t="s">
        <v>612</v>
      </c>
      <c r="AJ1040">
        <v>35.835771999999999</v>
      </c>
      <c r="AK1040" t="s">
        <v>393</v>
      </c>
      <c r="AL1040">
        <v>-83.946426000000002</v>
      </c>
      <c r="AM1040">
        <v>25</v>
      </c>
      <c r="AN1040">
        <v>1325</v>
      </c>
      <c r="AO1040" t="s">
        <v>118</v>
      </c>
      <c r="AP1040">
        <v>-71</v>
      </c>
      <c r="AQ1040">
        <v>74</v>
      </c>
      <c r="AR1040">
        <v>-128</v>
      </c>
      <c r="AZ1040">
        <v>300</v>
      </c>
      <c r="BA1040">
        <v>1</v>
      </c>
      <c r="BB1040" t="str">
        <f t="shared" si="50"/>
        <v xml:space="preserve">N162AM  </v>
      </c>
      <c r="BC1040">
        <v>1</v>
      </c>
      <c r="BE1040">
        <v>0</v>
      </c>
      <c r="BF1040">
        <v>0</v>
      </c>
      <c r="BG1040">
        <v>0</v>
      </c>
      <c r="BH1040">
        <v>1575</v>
      </c>
      <c r="BI1040">
        <v>1</v>
      </c>
      <c r="BJ1040">
        <v>1</v>
      </c>
      <c r="BK1040">
        <v>1</v>
      </c>
      <c r="BL1040">
        <v>0</v>
      </c>
      <c r="BO1040">
        <v>0</v>
      </c>
      <c r="BP1040">
        <v>0</v>
      </c>
      <c r="BW1040" t="str">
        <f>"14:47:10.851"</f>
        <v>14:47:10.851</v>
      </c>
      <c r="CJ1040">
        <v>3</v>
      </c>
      <c r="CK1040">
        <v>2</v>
      </c>
      <c r="CL1040">
        <v>0</v>
      </c>
      <c r="CM1040">
        <v>2</v>
      </c>
      <c r="CN1040">
        <v>0</v>
      </c>
      <c r="CO1040">
        <v>6</v>
      </c>
      <c r="CP1040" t="s">
        <v>119</v>
      </c>
      <c r="CQ1040">
        <v>232</v>
      </c>
      <c r="CR1040">
        <v>1</v>
      </c>
      <c r="CW1040">
        <v>15243821</v>
      </c>
      <c r="CY1040">
        <v>1</v>
      </c>
      <c r="CZ1040">
        <v>0</v>
      </c>
      <c r="DA1040">
        <v>1</v>
      </c>
      <c r="DB1040">
        <v>0</v>
      </c>
      <c r="DC1040">
        <v>0</v>
      </c>
      <c r="DD1040">
        <v>1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"12/16/2021 14:47:12.039"</f>
        <v>12/16/2021 14:47:12.039</v>
      </c>
      <c r="C1041" t="str">
        <f t="shared" si="49"/>
        <v>FFDFD3C0</v>
      </c>
      <c r="D1041" t="s">
        <v>133</v>
      </c>
      <c r="E1041">
        <v>44</v>
      </c>
      <c r="H1041">
        <v>131</v>
      </c>
      <c r="I1041" t="s">
        <v>134</v>
      </c>
      <c r="J1041" t="s">
        <v>135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"14:47:11.828"</f>
        <v>14:47:11.828</v>
      </c>
      <c r="T1041" t="str">
        <f>"14:47:11.428"</f>
        <v>14:47:11.428</v>
      </c>
      <c r="U1041" t="str">
        <f t="shared" si="48"/>
        <v>A0F928</v>
      </c>
      <c r="V1041">
        <v>0</v>
      </c>
      <c r="W1041">
        <v>0</v>
      </c>
      <c r="X1041">
        <v>2</v>
      </c>
      <c r="Z1041">
        <v>0</v>
      </c>
      <c r="AA1041">
        <v>9</v>
      </c>
      <c r="AB1041">
        <v>3</v>
      </c>
      <c r="AC1041">
        <v>0</v>
      </c>
      <c r="AD1041">
        <v>10</v>
      </c>
      <c r="AE1041">
        <v>0</v>
      </c>
      <c r="AF1041">
        <v>3</v>
      </c>
      <c r="AG1041">
        <v>2</v>
      </c>
      <c r="AH1041">
        <v>1</v>
      </c>
      <c r="AI1041" t="s">
        <v>613</v>
      </c>
      <c r="AJ1041">
        <v>35.836072000000001</v>
      </c>
      <c r="AK1041" t="s">
        <v>614</v>
      </c>
      <c r="AL1041">
        <v>-83.946769000000003</v>
      </c>
      <c r="AM1041">
        <v>25</v>
      </c>
      <c r="AN1041">
        <v>1300</v>
      </c>
      <c r="AO1041" t="s">
        <v>118</v>
      </c>
      <c r="AP1041">
        <v>-70</v>
      </c>
      <c r="AQ1041">
        <v>72</v>
      </c>
      <c r="AR1041">
        <v>-128</v>
      </c>
      <c r="AZ1041">
        <v>300</v>
      </c>
      <c r="BA1041">
        <v>1</v>
      </c>
      <c r="BB1041" t="str">
        <f t="shared" si="50"/>
        <v xml:space="preserve">N162AM  </v>
      </c>
      <c r="BC1041">
        <v>1</v>
      </c>
      <c r="BE1041">
        <v>0</v>
      </c>
      <c r="BF1041">
        <v>0</v>
      </c>
      <c r="BG1041">
        <v>0</v>
      </c>
      <c r="BH1041">
        <v>1575</v>
      </c>
      <c r="BI1041">
        <v>1</v>
      </c>
      <c r="BJ1041">
        <v>1</v>
      </c>
      <c r="BK1041">
        <v>1</v>
      </c>
      <c r="BL1041">
        <v>0</v>
      </c>
      <c r="BO1041">
        <v>0</v>
      </c>
      <c r="BP1041">
        <v>0</v>
      </c>
      <c r="BW1041" t="str">
        <f>"14:47:11.831"</f>
        <v>14:47:11.831</v>
      </c>
      <c r="CJ1041">
        <v>3</v>
      </c>
      <c r="CK1041">
        <v>2</v>
      </c>
      <c r="CL1041">
        <v>0</v>
      </c>
      <c r="CM1041">
        <v>2</v>
      </c>
      <c r="CN1041">
        <v>0</v>
      </c>
      <c r="CO1041">
        <v>7</v>
      </c>
      <c r="CP1041" t="s">
        <v>119</v>
      </c>
      <c r="CQ1041">
        <v>232</v>
      </c>
      <c r="CR1041">
        <v>1</v>
      </c>
      <c r="CW1041">
        <v>15245316</v>
      </c>
      <c r="CY1041">
        <v>1</v>
      </c>
      <c r="CZ1041">
        <v>0</v>
      </c>
      <c r="DA1041">
        <v>0</v>
      </c>
      <c r="DB1041">
        <v>0</v>
      </c>
      <c r="DC1041">
        <v>0</v>
      </c>
      <c r="DD1041">
        <v>1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"12/16/2021 14:47:12.039"</f>
        <v>12/16/2021 14:47:12.039</v>
      </c>
      <c r="C1042" t="str">
        <f t="shared" si="49"/>
        <v>FFDFD3C0</v>
      </c>
      <c r="D1042" t="s">
        <v>124</v>
      </c>
      <c r="E1042">
        <v>10</v>
      </c>
      <c r="F1042">
        <v>1010</v>
      </c>
      <c r="G1042" t="s">
        <v>130</v>
      </c>
      <c r="J1042" t="s">
        <v>125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"14:47:11.828"</f>
        <v>14:47:11.828</v>
      </c>
      <c r="T1042" t="str">
        <f>"14:47:11.428"</f>
        <v>14:47:11.428</v>
      </c>
      <c r="U1042" t="str">
        <f t="shared" si="48"/>
        <v>A0F928</v>
      </c>
      <c r="V1042">
        <v>0</v>
      </c>
      <c r="W1042">
        <v>0</v>
      </c>
      <c r="X1042">
        <v>2</v>
      </c>
      <c r="Z1042">
        <v>0</v>
      </c>
      <c r="AA1042">
        <v>9</v>
      </c>
      <c r="AB1042">
        <v>3</v>
      </c>
      <c r="AC1042">
        <v>0</v>
      </c>
      <c r="AD1042">
        <v>10</v>
      </c>
      <c r="AE1042">
        <v>0</v>
      </c>
      <c r="AF1042">
        <v>0</v>
      </c>
      <c r="AG1042">
        <v>2</v>
      </c>
      <c r="AH1042">
        <v>1</v>
      </c>
      <c r="AI1042" t="s">
        <v>613</v>
      </c>
      <c r="AJ1042">
        <v>35.836072000000001</v>
      </c>
      <c r="AK1042" t="s">
        <v>614</v>
      </c>
      <c r="AL1042">
        <v>-83.946769000000003</v>
      </c>
      <c r="AM1042">
        <v>25</v>
      </c>
      <c r="AN1042">
        <v>1300</v>
      </c>
      <c r="AO1042" t="s">
        <v>118</v>
      </c>
      <c r="AP1042">
        <v>-70</v>
      </c>
      <c r="AQ1042">
        <v>72</v>
      </c>
      <c r="AR1042">
        <v>-128</v>
      </c>
      <c r="AZ1042">
        <v>300</v>
      </c>
      <c r="BA1042">
        <v>1</v>
      </c>
      <c r="BB1042" t="str">
        <f t="shared" si="50"/>
        <v xml:space="preserve">N162AM  </v>
      </c>
      <c r="BC1042">
        <v>1</v>
      </c>
      <c r="BE1042">
        <v>0</v>
      </c>
      <c r="BF1042">
        <v>0</v>
      </c>
      <c r="BG1042">
        <v>0</v>
      </c>
      <c r="BH1042">
        <v>1575</v>
      </c>
      <c r="BI1042">
        <v>1</v>
      </c>
      <c r="BJ1042">
        <v>1</v>
      </c>
      <c r="BK1042">
        <v>1</v>
      </c>
      <c r="BL1042">
        <v>0</v>
      </c>
      <c r="BO1042">
        <v>0</v>
      </c>
      <c r="BP1042">
        <v>0</v>
      </c>
      <c r="BW1042" t="str">
        <f>"14:47:11.831"</f>
        <v>14:47:11.831</v>
      </c>
      <c r="CJ1042">
        <v>2</v>
      </c>
      <c r="CK1042">
        <v>2</v>
      </c>
      <c r="CL1042">
        <v>0</v>
      </c>
      <c r="CM1042">
        <v>2</v>
      </c>
      <c r="CN1042">
        <v>0</v>
      </c>
      <c r="CO1042">
        <v>7</v>
      </c>
      <c r="CP1042" t="s">
        <v>119</v>
      </c>
      <c r="CQ1042">
        <v>232</v>
      </c>
      <c r="CR1042">
        <v>1</v>
      </c>
      <c r="CW1042">
        <v>15245316</v>
      </c>
      <c r="CY1042">
        <v>1</v>
      </c>
      <c r="CZ1042">
        <v>0</v>
      </c>
      <c r="DA1042">
        <v>1</v>
      </c>
      <c r="DB1042">
        <v>0</v>
      </c>
      <c r="DC1042">
        <v>0</v>
      </c>
      <c r="DD1042">
        <v>1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"12/16/2021 14:47:12.039"</f>
        <v>12/16/2021 14:47:12.039</v>
      </c>
      <c r="C1043" t="str">
        <f t="shared" si="49"/>
        <v>FFDFD3C0</v>
      </c>
      <c r="D1043" t="s">
        <v>113</v>
      </c>
      <c r="E1043">
        <v>8</v>
      </c>
      <c r="H1043">
        <v>176</v>
      </c>
      <c r="I1043" t="s">
        <v>114</v>
      </c>
      <c r="J1043" t="s">
        <v>115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"14:47:11.828"</f>
        <v>14:47:11.828</v>
      </c>
      <c r="T1043" t="str">
        <f>"14:47:11.428"</f>
        <v>14:47:11.428</v>
      </c>
      <c r="U1043" t="str">
        <f t="shared" si="48"/>
        <v>A0F928</v>
      </c>
      <c r="V1043">
        <v>0</v>
      </c>
      <c r="W1043">
        <v>0</v>
      </c>
      <c r="X1043">
        <v>2</v>
      </c>
      <c r="Z1043">
        <v>0</v>
      </c>
      <c r="AA1043">
        <v>9</v>
      </c>
      <c r="AB1043">
        <v>3</v>
      </c>
      <c r="AC1043">
        <v>0</v>
      </c>
      <c r="AD1043">
        <v>10</v>
      </c>
      <c r="AE1043">
        <v>0</v>
      </c>
      <c r="AF1043">
        <v>3</v>
      </c>
      <c r="AG1043">
        <v>2</v>
      </c>
      <c r="AH1043">
        <v>1</v>
      </c>
      <c r="AI1043" t="s">
        <v>613</v>
      </c>
      <c r="AJ1043">
        <v>35.836072000000001</v>
      </c>
      <c r="AK1043" t="s">
        <v>614</v>
      </c>
      <c r="AL1043">
        <v>-83.946769000000003</v>
      </c>
      <c r="AM1043">
        <v>25</v>
      </c>
      <c r="AN1043">
        <v>1300</v>
      </c>
      <c r="AO1043" t="s">
        <v>118</v>
      </c>
      <c r="AP1043">
        <v>-70</v>
      </c>
      <c r="AQ1043">
        <v>72</v>
      </c>
      <c r="AR1043">
        <v>-128</v>
      </c>
      <c r="AZ1043">
        <v>300</v>
      </c>
      <c r="BA1043">
        <v>1</v>
      </c>
      <c r="BB1043" t="str">
        <f t="shared" si="50"/>
        <v xml:space="preserve">N162AM  </v>
      </c>
      <c r="BC1043">
        <v>1</v>
      </c>
      <c r="BE1043">
        <v>0</v>
      </c>
      <c r="BF1043">
        <v>0</v>
      </c>
      <c r="BG1043">
        <v>0</v>
      </c>
      <c r="BH1043">
        <v>1575</v>
      </c>
      <c r="BI1043">
        <v>1</v>
      </c>
      <c r="BJ1043">
        <v>1</v>
      </c>
      <c r="BK1043">
        <v>1</v>
      </c>
      <c r="BL1043">
        <v>0</v>
      </c>
      <c r="BO1043">
        <v>0</v>
      </c>
      <c r="BP1043">
        <v>0</v>
      </c>
      <c r="BW1043" t="str">
        <f>"14:47:11.831"</f>
        <v>14:47:11.831</v>
      </c>
      <c r="CJ1043">
        <v>3</v>
      </c>
      <c r="CK1043">
        <v>2</v>
      </c>
      <c r="CL1043">
        <v>0</v>
      </c>
      <c r="CM1043">
        <v>2</v>
      </c>
      <c r="CN1043">
        <v>0</v>
      </c>
      <c r="CO1043">
        <v>7</v>
      </c>
      <c r="CP1043" t="s">
        <v>119</v>
      </c>
      <c r="CQ1043">
        <v>232</v>
      </c>
      <c r="CR1043">
        <v>1</v>
      </c>
      <c r="CW1043">
        <v>15245316</v>
      </c>
      <c r="CY1043">
        <v>1</v>
      </c>
      <c r="CZ1043">
        <v>0</v>
      </c>
      <c r="DA1043">
        <v>1</v>
      </c>
      <c r="DB1043">
        <v>0</v>
      </c>
      <c r="DC1043">
        <v>0</v>
      </c>
      <c r="DD1043">
        <v>1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"12/16/2021 14:47:12.039"</f>
        <v>12/16/2021 14:47:12.039</v>
      </c>
      <c r="C1044" t="str">
        <f t="shared" si="49"/>
        <v>FFDFD3C0</v>
      </c>
      <c r="D1044" t="s">
        <v>124</v>
      </c>
      <c r="E1044">
        <v>5</v>
      </c>
      <c r="F1044">
        <v>1005</v>
      </c>
      <c r="G1044" t="s">
        <v>114</v>
      </c>
      <c r="J1044" t="s">
        <v>125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"14:47:11.828"</f>
        <v>14:47:11.828</v>
      </c>
      <c r="T1044" t="str">
        <f>"14:47:11.428"</f>
        <v>14:47:11.428</v>
      </c>
      <c r="U1044" t="str">
        <f t="shared" si="48"/>
        <v>A0F928</v>
      </c>
      <c r="V1044">
        <v>0</v>
      </c>
      <c r="W1044">
        <v>0</v>
      </c>
      <c r="X1044">
        <v>2</v>
      </c>
      <c r="Z1044">
        <v>0</v>
      </c>
      <c r="AA1044">
        <v>9</v>
      </c>
      <c r="AB1044">
        <v>3</v>
      </c>
      <c r="AC1044">
        <v>0</v>
      </c>
      <c r="AD1044">
        <v>10</v>
      </c>
      <c r="AE1044">
        <v>0</v>
      </c>
      <c r="AF1044">
        <v>3</v>
      </c>
      <c r="AG1044">
        <v>2</v>
      </c>
      <c r="AH1044">
        <v>1</v>
      </c>
      <c r="AI1044" t="s">
        <v>613</v>
      </c>
      <c r="AJ1044">
        <v>35.836072000000001</v>
      </c>
      <c r="AK1044" t="s">
        <v>614</v>
      </c>
      <c r="AL1044">
        <v>-83.946769000000003</v>
      </c>
      <c r="AM1044">
        <v>25</v>
      </c>
      <c r="AN1044">
        <v>1300</v>
      </c>
      <c r="AO1044" t="s">
        <v>118</v>
      </c>
      <c r="AP1044">
        <v>-70</v>
      </c>
      <c r="AQ1044">
        <v>72</v>
      </c>
      <c r="AR1044">
        <v>-128</v>
      </c>
      <c r="AZ1044">
        <v>300</v>
      </c>
      <c r="BA1044">
        <v>1</v>
      </c>
      <c r="BB1044" t="str">
        <f t="shared" si="50"/>
        <v xml:space="preserve">N162AM  </v>
      </c>
      <c r="BC1044">
        <v>1</v>
      </c>
      <c r="BE1044">
        <v>0</v>
      </c>
      <c r="BF1044">
        <v>0</v>
      </c>
      <c r="BG1044">
        <v>0</v>
      </c>
      <c r="BH1044">
        <v>1575</v>
      </c>
      <c r="BI1044">
        <v>1</v>
      </c>
      <c r="BJ1044">
        <v>1</v>
      </c>
      <c r="BK1044">
        <v>1</v>
      </c>
      <c r="BL1044">
        <v>0</v>
      </c>
      <c r="BO1044">
        <v>0</v>
      </c>
      <c r="BP1044">
        <v>0</v>
      </c>
      <c r="BW1044" t="str">
        <f>"14:47:11.831"</f>
        <v>14:47:11.831</v>
      </c>
      <c r="CJ1044">
        <v>3</v>
      </c>
      <c r="CK1044">
        <v>2</v>
      </c>
      <c r="CL1044">
        <v>0</v>
      </c>
      <c r="CM1044">
        <v>2</v>
      </c>
      <c r="CN1044">
        <v>0</v>
      </c>
      <c r="CO1044">
        <v>7</v>
      </c>
      <c r="CP1044" t="s">
        <v>119</v>
      </c>
      <c r="CQ1044">
        <v>232</v>
      </c>
      <c r="CR1044">
        <v>1</v>
      </c>
      <c r="CW1044">
        <v>15245316</v>
      </c>
      <c r="CY1044">
        <v>1</v>
      </c>
      <c r="CZ1044">
        <v>0</v>
      </c>
      <c r="DA1044">
        <v>1</v>
      </c>
      <c r="DB1044">
        <v>0</v>
      </c>
      <c r="DC1044">
        <v>0</v>
      </c>
      <c r="DD1044">
        <v>1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"12/16/2021 14:47:12.992"</f>
        <v>12/16/2021 14:47:12.992</v>
      </c>
      <c r="C1045" t="str">
        <f t="shared" si="49"/>
        <v>FFDFD3C0</v>
      </c>
      <c r="D1045" t="s">
        <v>124</v>
      </c>
      <c r="E1045">
        <v>10</v>
      </c>
      <c r="F1045">
        <v>1010</v>
      </c>
      <c r="G1045" t="s">
        <v>130</v>
      </c>
      <c r="J1045" t="s">
        <v>125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"14:47:12.742"</f>
        <v>14:47:12.742</v>
      </c>
      <c r="T1045" t="str">
        <f>"14:47:12.342"</f>
        <v>14:47:12.342</v>
      </c>
      <c r="U1045" t="str">
        <f t="shared" si="48"/>
        <v>A0F928</v>
      </c>
      <c r="V1045">
        <v>0</v>
      </c>
      <c r="W1045">
        <v>0</v>
      </c>
      <c r="X1045">
        <v>2</v>
      </c>
      <c r="Z1045">
        <v>0</v>
      </c>
      <c r="AA1045">
        <v>9</v>
      </c>
      <c r="AB1045">
        <v>3</v>
      </c>
      <c r="AC1045">
        <v>0</v>
      </c>
      <c r="AD1045">
        <v>10</v>
      </c>
      <c r="AE1045">
        <v>0</v>
      </c>
      <c r="AF1045">
        <v>0</v>
      </c>
      <c r="AG1045">
        <v>2</v>
      </c>
      <c r="AH1045">
        <v>1</v>
      </c>
      <c r="AI1045" t="s">
        <v>615</v>
      </c>
      <c r="AJ1045">
        <v>35.836328999999999</v>
      </c>
      <c r="AK1045" t="s">
        <v>616</v>
      </c>
      <c r="AL1045">
        <v>-83.947113000000002</v>
      </c>
      <c r="AM1045">
        <v>25</v>
      </c>
      <c r="AN1045">
        <v>1300</v>
      </c>
      <c r="AO1045" t="s">
        <v>118</v>
      </c>
      <c r="AP1045">
        <v>-70</v>
      </c>
      <c r="AQ1045">
        <v>70</v>
      </c>
      <c r="AR1045">
        <v>-192</v>
      </c>
      <c r="AZ1045">
        <v>300</v>
      </c>
      <c r="BA1045">
        <v>1</v>
      </c>
      <c r="BB1045" t="str">
        <f t="shared" si="50"/>
        <v xml:space="preserve">N162AM  </v>
      </c>
      <c r="BC1045">
        <v>1</v>
      </c>
      <c r="BE1045">
        <v>0</v>
      </c>
      <c r="BF1045">
        <v>0</v>
      </c>
      <c r="BG1045">
        <v>0</v>
      </c>
      <c r="BH1045">
        <v>1550</v>
      </c>
      <c r="BI1045">
        <v>1</v>
      </c>
      <c r="BJ1045">
        <v>1</v>
      </c>
      <c r="BK1045">
        <v>1</v>
      </c>
      <c r="BL1045">
        <v>0</v>
      </c>
      <c r="BO1045">
        <v>0</v>
      </c>
      <c r="BP1045">
        <v>0</v>
      </c>
      <c r="BW1045" t="str">
        <f>"14:47:12.743"</f>
        <v>14:47:12.743</v>
      </c>
      <c r="CJ1045">
        <v>2</v>
      </c>
      <c r="CK1045">
        <v>2</v>
      </c>
      <c r="CL1045">
        <v>0</v>
      </c>
      <c r="CM1045">
        <v>2</v>
      </c>
      <c r="CN1045">
        <v>0</v>
      </c>
      <c r="CO1045">
        <v>6</v>
      </c>
      <c r="CP1045" t="s">
        <v>119</v>
      </c>
      <c r="CQ1045">
        <v>232</v>
      </c>
      <c r="CR1045">
        <v>2</v>
      </c>
      <c r="CW1045">
        <v>6439084</v>
      </c>
      <c r="CY1045">
        <v>1</v>
      </c>
      <c r="CZ1045">
        <v>0</v>
      </c>
      <c r="DA1045">
        <v>0</v>
      </c>
      <c r="DB1045">
        <v>0</v>
      </c>
      <c r="DC1045">
        <v>0</v>
      </c>
      <c r="DD1045">
        <v>1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"12/16/2021 14:47:12.992"</f>
        <v>12/16/2021 14:47:12.992</v>
      </c>
      <c r="C1046" t="str">
        <f t="shared" si="49"/>
        <v>FFDFD3C0</v>
      </c>
      <c r="D1046" t="s">
        <v>133</v>
      </c>
      <c r="E1046">
        <v>44</v>
      </c>
      <c r="H1046">
        <v>131</v>
      </c>
      <c r="I1046" t="s">
        <v>134</v>
      </c>
      <c r="J1046" t="s">
        <v>135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"14:47:12.742"</f>
        <v>14:47:12.742</v>
      </c>
      <c r="T1046" t="str">
        <f>"14:47:12.342"</f>
        <v>14:47:12.342</v>
      </c>
      <c r="U1046" t="str">
        <f t="shared" si="48"/>
        <v>A0F928</v>
      </c>
      <c r="V1046">
        <v>0</v>
      </c>
      <c r="W1046">
        <v>0</v>
      </c>
      <c r="X1046">
        <v>2</v>
      </c>
      <c r="Z1046">
        <v>0</v>
      </c>
      <c r="AA1046">
        <v>9</v>
      </c>
      <c r="AB1046">
        <v>3</v>
      </c>
      <c r="AC1046">
        <v>0</v>
      </c>
      <c r="AD1046">
        <v>10</v>
      </c>
      <c r="AE1046">
        <v>0</v>
      </c>
      <c r="AF1046">
        <v>3</v>
      </c>
      <c r="AG1046">
        <v>2</v>
      </c>
      <c r="AH1046">
        <v>1</v>
      </c>
      <c r="AI1046" t="s">
        <v>615</v>
      </c>
      <c r="AJ1046">
        <v>35.836328999999999</v>
      </c>
      <c r="AK1046" t="s">
        <v>616</v>
      </c>
      <c r="AL1046">
        <v>-83.947113000000002</v>
      </c>
      <c r="AM1046">
        <v>25</v>
      </c>
      <c r="AN1046">
        <v>1300</v>
      </c>
      <c r="AO1046" t="s">
        <v>118</v>
      </c>
      <c r="AP1046">
        <v>-70</v>
      </c>
      <c r="AQ1046">
        <v>70</v>
      </c>
      <c r="AR1046">
        <v>-192</v>
      </c>
      <c r="AZ1046">
        <v>300</v>
      </c>
      <c r="BA1046">
        <v>1</v>
      </c>
      <c r="BB1046" t="str">
        <f t="shared" si="50"/>
        <v xml:space="preserve">N162AM  </v>
      </c>
      <c r="BC1046">
        <v>1</v>
      </c>
      <c r="BE1046">
        <v>0</v>
      </c>
      <c r="BF1046">
        <v>0</v>
      </c>
      <c r="BG1046">
        <v>0</v>
      </c>
      <c r="BH1046">
        <v>1550</v>
      </c>
      <c r="BI1046">
        <v>1</v>
      </c>
      <c r="BJ1046">
        <v>1</v>
      </c>
      <c r="BK1046">
        <v>1</v>
      </c>
      <c r="BL1046">
        <v>0</v>
      </c>
      <c r="BO1046">
        <v>0</v>
      </c>
      <c r="BP1046">
        <v>0</v>
      </c>
      <c r="BW1046" t="str">
        <f>"14:47:12.743"</f>
        <v>14:47:12.743</v>
      </c>
      <c r="CJ1046">
        <v>3</v>
      </c>
      <c r="CK1046">
        <v>2</v>
      </c>
      <c r="CL1046">
        <v>0</v>
      </c>
      <c r="CM1046">
        <v>2</v>
      </c>
      <c r="CN1046">
        <v>0</v>
      </c>
      <c r="CO1046">
        <v>6</v>
      </c>
      <c r="CP1046" t="s">
        <v>119</v>
      </c>
      <c r="CQ1046">
        <v>232</v>
      </c>
      <c r="CR1046">
        <v>2</v>
      </c>
      <c r="CW1046">
        <v>6439084</v>
      </c>
      <c r="CY1046">
        <v>1</v>
      </c>
      <c r="CZ1046">
        <v>0</v>
      </c>
      <c r="DA1046">
        <v>1</v>
      </c>
      <c r="DB1046">
        <v>0</v>
      </c>
      <c r="DC1046">
        <v>0</v>
      </c>
      <c r="DD1046">
        <v>1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"12/16/2021 14:47:12.992"</f>
        <v>12/16/2021 14:47:12.992</v>
      </c>
      <c r="C1047" t="str">
        <f t="shared" si="49"/>
        <v>FFDFD3C0</v>
      </c>
      <c r="D1047" t="s">
        <v>113</v>
      </c>
      <c r="E1047">
        <v>8</v>
      </c>
      <c r="H1047">
        <v>176</v>
      </c>
      <c r="I1047" t="s">
        <v>114</v>
      </c>
      <c r="J1047" t="s">
        <v>115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"14:47:12.742"</f>
        <v>14:47:12.742</v>
      </c>
      <c r="T1047" t="str">
        <f>"14:47:12.342"</f>
        <v>14:47:12.342</v>
      </c>
      <c r="U1047" t="str">
        <f t="shared" si="48"/>
        <v>A0F928</v>
      </c>
      <c r="V1047">
        <v>0</v>
      </c>
      <c r="W1047">
        <v>0</v>
      </c>
      <c r="X1047">
        <v>2</v>
      </c>
      <c r="Z1047">
        <v>0</v>
      </c>
      <c r="AA1047">
        <v>9</v>
      </c>
      <c r="AB1047">
        <v>3</v>
      </c>
      <c r="AC1047">
        <v>0</v>
      </c>
      <c r="AD1047">
        <v>10</v>
      </c>
      <c r="AE1047">
        <v>0</v>
      </c>
      <c r="AF1047">
        <v>3</v>
      </c>
      <c r="AG1047">
        <v>2</v>
      </c>
      <c r="AH1047">
        <v>1</v>
      </c>
      <c r="AI1047" t="s">
        <v>615</v>
      </c>
      <c r="AJ1047">
        <v>35.836328999999999</v>
      </c>
      <c r="AK1047" t="s">
        <v>616</v>
      </c>
      <c r="AL1047">
        <v>-83.947113000000002</v>
      </c>
      <c r="AM1047">
        <v>25</v>
      </c>
      <c r="AN1047">
        <v>1300</v>
      </c>
      <c r="AO1047" t="s">
        <v>118</v>
      </c>
      <c r="AP1047">
        <v>-70</v>
      </c>
      <c r="AQ1047">
        <v>70</v>
      </c>
      <c r="AR1047">
        <v>-192</v>
      </c>
      <c r="AZ1047">
        <v>300</v>
      </c>
      <c r="BA1047">
        <v>1</v>
      </c>
      <c r="BB1047" t="str">
        <f t="shared" si="50"/>
        <v xml:space="preserve">N162AM  </v>
      </c>
      <c r="BC1047">
        <v>1</v>
      </c>
      <c r="BE1047">
        <v>0</v>
      </c>
      <c r="BF1047">
        <v>0</v>
      </c>
      <c r="BG1047">
        <v>0</v>
      </c>
      <c r="BH1047">
        <v>1550</v>
      </c>
      <c r="BI1047">
        <v>1</v>
      </c>
      <c r="BJ1047">
        <v>1</v>
      </c>
      <c r="BK1047">
        <v>1</v>
      </c>
      <c r="BL1047">
        <v>0</v>
      </c>
      <c r="BO1047">
        <v>0</v>
      </c>
      <c r="BP1047">
        <v>0</v>
      </c>
      <c r="BW1047" t="str">
        <f>"14:47:12.743"</f>
        <v>14:47:12.743</v>
      </c>
      <c r="CJ1047">
        <v>3</v>
      </c>
      <c r="CK1047">
        <v>2</v>
      </c>
      <c r="CL1047">
        <v>0</v>
      </c>
      <c r="CM1047">
        <v>2</v>
      </c>
      <c r="CN1047">
        <v>0</v>
      </c>
      <c r="CO1047">
        <v>6</v>
      </c>
      <c r="CP1047" t="s">
        <v>119</v>
      </c>
      <c r="CQ1047">
        <v>232</v>
      </c>
      <c r="CR1047">
        <v>2</v>
      </c>
      <c r="CW1047">
        <v>6439084</v>
      </c>
      <c r="CY1047">
        <v>1</v>
      </c>
      <c r="CZ1047">
        <v>0</v>
      </c>
      <c r="DA1047">
        <v>1</v>
      </c>
      <c r="DB1047">
        <v>0</v>
      </c>
      <c r="DC1047">
        <v>0</v>
      </c>
      <c r="DD1047">
        <v>1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"12/16/2021 14:47:12.992"</f>
        <v>12/16/2021 14:47:12.992</v>
      </c>
      <c r="C1048" t="str">
        <f t="shared" si="49"/>
        <v>FFDFD3C0</v>
      </c>
      <c r="D1048" t="s">
        <v>124</v>
      </c>
      <c r="E1048">
        <v>5</v>
      </c>
      <c r="F1048">
        <v>1005</v>
      </c>
      <c r="G1048" t="s">
        <v>114</v>
      </c>
      <c r="J1048" t="s">
        <v>125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"14:47:12.742"</f>
        <v>14:47:12.742</v>
      </c>
      <c r="T1048" t="str">
        <f>"14:47:12.342"</f>
        <v>14:47:12.342</v>
      </c>
      <c r="U1048" t="str">
        <f t="shared" si="48"/>
        <v>A0F928</v>
      </c>
      <c r="V1048">
        <v>0</v>
      </c>
      <c r="W1048">
        <v>0</v>
      </c>
      <c r="X1048">
        <v>2</v>
      </c>
      <c r="Z1048">
        <v>0</v>
      </c>
      <c r="AA1048">
        <v>9</v>
      </c>
      <c r="AB1048">
        <v>3</v>
      </c>
      <c r="AC1048">
        <v>0</v>
      </c>
      <c r="AD1048">
        <v>10</v>
      </c>
      <c r="AE1048">
        <v>0</v>
      </c>
      <c r="AF1048">
        <v>3</v>
      </c>
      <c r="AG1048">
        <v>2</v>
      </c>
      <c r="AH1048">
        <v>1</v>
      </c>
      <c r="AI1048" t="s">
        <v>615</v>
      </c>
      <c r="AJ1048">
        <v>35.836328999999999</v>
      </c>
      <c r="AK1048" t="s">
        <v>616</v>
      </c>
      <c r="AL1048">
        <v>-83.947113000000002</v>
      </c>
      <c r="AM1048">
        <v>25</v>
      </c>
      <c r="AN1048">
        <v>1300</v>
      </c>
      <c r="AO1048" t="s">
        <v>118</v>
      </c>
      <c r="AP1048">
        <v>-70</v>
      </c>
      <c r="AQ1048">
        <v>70</v>
      </c>
      <c r="AR1048">
        <v>-192</v>
      </c>
      <c r="AZ1048">
        <v>300</v>
      </c>
      <c r="BA1048">
        <v>1</v>
      </c>
      <c r="BB1048" t="str">
        <f t="shared" si="50"/>
        <v xml:space="preserve">N162AM  </v>
      </c>
      <c r="BC1048">
        <v>1</v>
      </c>
      <c r="BE1048">
        <v>0</v>
      </c>
      <c r="BF1048">
        <v>0</v>
      </c>
      <c r="BG1048">
        <v>0</v>
      </c>
      <c r="BH1048">
        <v>1550</v>
      </c>
      <c r="BI1048">
        <v>1</v>
      </c>
      <c r="BJ1048">
        <v>1</v>
      </c>
      <c r="BK1048">
        <v>1</v>
      </c>
      <c r="BL1048">
        <v>0</v>
      </c>
      <c r="BO1048">
        <v>0</v>
      </c>
      <c r="BP1048">
        <v>0</v>
      </c>
      <c r="BW1048" t="str">
        <f>"14:47:12.743"</f>
        <v>14:47:12.743</v>
      </c>
      <c r="CJ1048">
        <v>3</v>
      </c>
      <c r="CK1048">
        <v>2</v>
      </c>
      <c r="CL1048">
        <v>0</v>
      </c>
      <c r="CM1048">
        <v>2</v>
      </c>
      <c r="CN1048">
        <v>0</v>
      </c>
      <c r="CO1048">
        <v>6</v>
      </c>
      <c r="CP1048" t="s">
        <v>119</v>
      </c>
      <c r="CQ1048">
        <v>232</v>
      </c>
      <c r="CR1048">
        <v>2</v>
      </c>
      <c r="CW1048">
        <v>6439084</v>
      </c>
      <c r="CY1048">
        <v>1</v>
      </c>
      <c r="CZ1048">
        <v>0</v>
      </c>
      <c r="DA1048">
        <v>1</v>
      </c>
      <c r="DB1048">
        <v>0</v>
      </c>
      <c r="DC1048">
        <v>0</v>
      </c>
      <c r="DD1048">
        <v>1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"12/16/2021 14:47:14.290"</f>
        <v>12/16/2021 14:47:14.290</v>
      </c>
      <c r="C1049" t="str">
        <f t="shared" si="49"/>
        <v>FFDFD3C0</v>
      </c>
      <c r="D1049" t="s">
        <v>124</v>
      </c>
      <c r="E1049">
        <v>10</v>
      </c>
      <c r="F1049">
        <v>1010</v>
      </c>
      <c r="G1049" t="s">
        <v>130</v>
      </c>
      <c r="J1049" t="s">
        <v>125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"14:47:14.078"</f>
        <v>14:47:14.078</v>
      </c>
      <c r="T1049" t="str">
        <f>"14:47:13.678"</f>
        <v>14:47:13.678</v>
      </c>
      <c r="U1049" t="str">
        <f t="shared" si="48"/>
        <v>A0F928</v>
      </c>
      <c r="V1049">
        <v>0</v>
      </c>
      <c r="W1049">
        <v>0</v>
      </c>
      <c r="X1049">
        <v>2</v>
      </c>
      <c r="Z1049">
        <v>0</v>
      </c>
      <c r="AA1049">
        <v>9</v>
      </c>
      <c r="AB1049">
        <v>3</v>
      </c>
      <c r="AC1049">
        <v>0</v>
      </c>
      <c r="AD1049">
        <v>10</v>
      </c>
      <c r="AE1049">
        <v>0</v>
      </c>
      <c r="AF1049">
        <v>0</v>
      </c>
      <c r="AG1049">
        <v>2</v>
      </c>
      <c r="AH1049">
        <v>1</v>
      </c>
      <c r="AI1049" t="s">
        <v>617</v>
      </c>
      <c r="AJ1049">
        <v>35.836801999999999</v>
      </c>
      <c r="AK1049" t="s">
        <v>618</v>
      </c>
      <c r="AL1049">
        <v>-83.947692000000004</v>
      </c>
      <c r="AM1049">
        <v>25</v>
      </c>
      <c r="AN1049">
        <v>1300</v>
      </c>
      <c r="AO1049" t="s">
        <v>118</v>
      </c>
      <c r="AP1049">
        <v>-69</v>
      </c>
      <c r="AQ1049">
        <v>68</v>
      </c>
      <c r="AR1049">
        <v>-320</v>
      </c>
      <c r="AZ1049">
        <v>300</v>
      </c>
      <c r="BA1049">
        <v>1</v>
      </c>
      <c r="BB1049" t="str">
        <f t="shared" si="50"/>
        <v xml:space="preserve">N162AM  </v>
      </c>
      <c r="BC1049">
        <v>1</v>
      </c>
      <c r="BE1049">
        <v>0</v>
      </c>
      <c r="BF1049">
        <v>0</v>
      </c>
      <c r="BG1049">
        <v>0</v>
      </c>
      <c r="BH1049">
        <v>1550</v>
      </c>
      <c r="BI1049">
        <v>1</v>
      </c>
      <c r="BJ1049">
        <v>1</v>
      </c>
      <c r="BK1049">
        <v>1</v>
      </c>
      <c r="BL1049">
        <v>0</v>
      </c>
      <c r="BO1049">
        <v>0</v>
      </c>
      <c r="BP1049">
        <v>0</v>
      </c>
      <c r="BW1049" t="str">
        <f>"14:47:14.083"</f>
        <v>14:47:14.083</v>
      </c>
      <c r="CJ1049">
        <v>2</v>
      </c>
      <c r="CK1049">
        <v>2</v>
      </c>
      <c r="CL1049">
        <v>0</v>
      </c>
      <c r="CM1049">
        <v>2</v>
      </c>
      <c r="CN1049">
        <v>0</v>
      </c>
      <c r="CO1049">
        <v>7</v>
      </c>
      <c r="CP1049" t="s">
        <v>119</v>
      </c>
      <c r="CQ1049">
        <v>232</v>
      </c>
      <c r="CR1049">
        <v>1</v>
      </c>
      <c r="CW1049">
        <v>15248650</v>
      </c>
      <c r="CY1049">
        <v>1</v>
      </c>
      <c r="CZ1049">
        <v>0</v>
      </c>
      <c r="DA1049">
        <v>0</v>
      </c>
      <c r="DB1049">
        <v>0</v>
      </c>
      <c r="DC1049">
        <v>0</v>
      </c>
      <c r="DD1049">
        <v>1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"12/16/2021 14:47:14.321"</f>
        <v>12/16/2021 14:47:14.321</v>
      </c>
      <c r="C1050" t="str">
        <f t="shared" si="49"/>
        <v>FFDFD3C0</v>
      </c>
      <c r="D1050" t="s">
        <v>113</v>
      </c>
      <c r="E1050">
        <v>8</v>
      </c>
      <c r="H1050">
        <v>176</v>
      </c>
      <c r="I1050" t="s">
        <v>114</v>
      </c>
      <c r="J1050" t="s">
        <v>115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"14:47:14.078"</f>
        <v>14:47:14.078</v>
      </c>
      <c r="T1050" t="str">
        <f>"14:47:13.678"</f>
        <v>14:47:13.678</v>
      </c>
      <c r="U1050" t="str">
        <f t="shared" si="48"/>
        <v>A0F928</v>
      </c>
      <c r="V1050">
        <v>0</v>
      </c>
      <c r="W1050">
        <v>0</v>
      </c>
      <c r="X1050">
        <v>2</v>
      </c>
      <c r="Z1050">
        <v>0</v>
      </c>
      <c r="AA1050">
        <v>9</v>
      </c>
      <c r="AB1050">
        <v>3</v>
      </c>
      <c r="AC1050">
        <v>0</v>
      </c>
      <c r="AD1050">
        <v>10</v>
      </c>
      <c r="AE1050">
        <v>0</v>
      </c>
      <c r="AF1050">
        <v>3</v>
      </c>
      <c r="AG1050">
        <v>2</v>
      </c>
      <c r="AH1050">
        <v>1</v>
      </c>
      <c r="AI1050" t="s">
        <v>617</v>
      </c>
      <c r="AJ1050">
        <v>35.836801999999999</v>
      </c>
      <c r="AK1050" t="s">
        <v>618</v>
      </c>
      <c r="AL1050">
        <v>-83.947692000000004</v>
      </c>
      <c r="AM1050">
        <v>25</v>
      </c>
      <c r="AN1050">
        <v>1300</v>
      </c>
      <c r="AO1050" t="s">
        <v>118</v>
      </c>
      <c r="AP1050">
        <v>-69</v>
      </c>
      <c r="AQ1050">
        <v>68</v>
      </c>
      <c r="AR1050">
        <v>-320</v>
      </c>
      <c r="AZ1050">
        <v>300</v>
      </c>
      <c r="BA1050">
        <v>1</v>
      </c>
      <c r="BB1050" t="str">
        <f t="shared" si="50"/>
        <v xml:space="preserve">N162AM  </v>
      </c>
      <c r="BC1050">
        <v>1</v>
      </c>
      <c r="BE1050">
        <v>0</v>
      </c>
      <c r="BF1050">
        <v>0</v>
      </c>
      <c r="BG1050">
        <v>0</v>
      </c>
      <c r="BH1050">
        <v>1550</v>
      </c>
      <c r="BI1050">
        <v>1</v>
      </c>
      <c r="BJ1050">
        <v>1</v>
      </c>
      <c r="BK1050">
        <v>1</v>
      </c>
      <c r="BL1050">
        <v>0</v>
      </c>
      <c r="BO1050">
        <v>0</v>
      </c>
      <c r="BP1050">
        <v>0</v>
      </c>
      <c r="BW1050" t="str">
        <f>"14:47:14.083"</f>
        <v>14:47:14.083</v>
      </c>
      <c r="CJ1050">
        <v>3</v>
      </c>
      <c r="CK1050">
        <v>2</v>
      </c>
      <c r="CL1050">
        <v>0</v>
      </c>
      <c r="CM1050">
        <v>2</v>
      </c>
      <c r="CN1050">
        <v>0</v>
      </c>
      <c r="CO1050">
        <v>7</v>
      </c>
      <c r="CP1050" t="s">
        <v>119</v>
      </c>
      <c r="CQ1050">
        <v>232</v>
      </c>
      <c r="CR1050">
        <v>1</v>
      </c>
      <c r="CW1050">
        <v>15248650</v>
      </c>
      <c r="CY1050">
        <v>1</v>
      </c>
      <c r="CZ1050">
        <v>0</v>
      </c>
      <c r="DA1050">
        <v>1</v>
      </c>
      <c r="DB1050">
        <v>0</v>
      </c>
      <c r="DC1050">
        <v>0</v>
      </c>
      <c r="DD1050">
        <v>1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"12/16/2021 14:47:14.290"</f>
        <v>12/16/2021 14:47:14.290</v>
      </c>
      <c r="C1051" t="str">
        <f t="shared" si="49"/>
        <v>FFDFD3C0</v>
      </c>
      <c r="D1051" t="s">
        <v>124</v>
      </c>
      <c r="E1051">
        <v>5</v>
      </c>
      <c r="F1051">
        <v>1005</v>
      </c>
      <c r="G1051" t="s">
        <v>114</v>
      </c>
      <c r="J1051" t="s">
        <v>125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"14:47:14.078"</f>
        <v>14:47:14.078</v>
      </c>
      <c r="T1051" t="str">
        <f>"14:47:13.678"</f>
        <v>14:47:13.678</v>
      </c>
      <c r="U1051" t="str">
        <f t="shared" si="48"/>
        <v>A0F928</v>
      </c>
      <c r="V1051">
        <v>0</v>
      </c>
      <c r="W1051">
        <v>0</v>
      </c>
      <c r="X1051">
        <v>2</v>
      </c>
      <c r="Z1051">
        <v>0</v>
      </c>
      <c r="AA1051">
        <v>9</v>
      </c>
      <c r="AB1051">
        <v>3</v>
      </c>
      <c r="AC1051">
        <v>0</v>
      </c>
      <c r="AD1051">
        <v>10</v>
      </c>
      <c r="AE1051">
        <v>0</v>
      </c>
      <c r="AF1051">
        <v>3</v>
      </c>
      <c r="AG1051">
        <v>2</v>
      </c>
      <c r="AH1051">
        <v>1</v>
      </c>
      <c r="AI1051" t="s">
        <v>617</v>
      </c>
      <c r="AJ1051">
        <v>35.836801999999999</v>
      </c>
      <c r="AK1051" t="s">
        <v>618</v>
      </c>
      <c r="AL1051">
        <v>-83.947692000000004</v>
      </c>
      <c r="AM1051">
        <v>25</v>
      </c>
      <c r="AN1051">
        <v>1300</v>
      </c>
      <c r="AO1051" t="s">
        <v>118</v>
      </c>
      <c r="AP1051">
        <v>-69</v>
      </c>
      <c r="AQ1051">
        <v>68</v>
      </c>
      <c r="AR1051">
        <v>-320</v>
      </c>
      <c r="AZ1051">
        <v>300</v>
      </c>
      <c r="BA1051">
        <v>1</v>
      </c>
      <c r="BB1051" t="str">
        <f t="shared" si="50"/>
        <v xml:space="preserve">N162AM  </v>
      </c>
      <c r="BC1051">
        <v>1</v>
      </c>
      <c r="BE1051">
        <v>0</v>
      </c>
      <c r="BF1051">
        <v>0</v>
      </c>
      <c r="BG1051">
        <v>0</v>
      </c>
      <c r="BH1051">
        <v>1550</v>
      </c>
      <c r="BI1051">
        <v>1</v>
      </c>
      <c r="BJ1051">
        <v>1</v>
      </c>
      <c r="BK1051">
        <v>1</v>
      </c>
      <c r="BL1051">
        <v>0</v>
      </c>
      <c r="BO1051">
        <v>0</v>
      </c>
      <c r="BP1051">
        <v>0</v>
      </c>
      <c r="BW1051" t="str">
        <f>"14:47:14.083"</f>
        <v>14:47:14.083</v>
      </c>
      <c r="CJ1051">
        <v>3</v>
      </c>
      <c r="CK1051">
        <v>2</v>
      </c>
      <c r="CL1051">
        <v>0</v>
      </c>
      <c r="CM1051">
        <v>2</v>
      </c>
      <c r="CN1051">
        <v>0</v>
      </c>
      <c r="CO1051">
        <v>7</v>
      </c>
      <c r="CP1051" t="s">
        <v>119</v>
      </c>
      <c r="CQ1051">
        <v>232</v>
      </c>
      <c r="CR1051">
        <v>1</v>
      </c>
      <c r="CW1051">
        <v>15248650</v>
      </c>
      <c r="CY1051">
        <v>1</v>
      </c>
      <c r="CZ1051">
        <v>0</v>
      </c>
      <c r="DA1051">
        <v>1</v>
      </c>
      <c r="DB1051">
        <v>0</v>
      </c>
      <c r="DC1051">
        <v>0</v>
      </c>
      <c r="DD1051">
        <v>1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"12/16/2021 14:47:14.321"</f>
        <v>12/16/2021 14:47:14.321</v>
      </c>
      <c r="C1052" t="str">
        <f t="shared" si="49"/>
        <v>FFDFD3C0</v>
      </c>
      <c r="D1052" t="s">
        <v>133</v>
      </c>
      <c r="E1052">
        <v>44</v>
      </c>
      <c r="H1052">
        <v>131</v>
      </c>
      <c r="I1052" t="s">
        <v>134</v>
      </c>
      <c r="J1052" t="s">
        <v>135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"14:47:14.078"</f>
        <v>14:47:14.078</v>
      </c>
      <c r="T1052" t="str">
        <f>"14:47:13.678"</f>
        <v>14:47:13.678</v>
      </c>
      <c r="U1052" t="str">
        <f t="shared" si="48"/>
        <v>A0F928</v>
      </c>
      <c r="V1052">
        <v>0</v>
      </c>
      <c r="W1052">
        <v>0</v>
      </c>
      <c r="X1052">
        <v>2</v>
      </c>
      <c r="Z1052">
        <v>0</v>
      </c>
      <c r="AA1052">
        <v>9</v>
      </c>
      <c r="AB1052">
        <v>3</v>
      </c>
      <c r="AC1052">
        <v>0</v>
      </c>
      <c r="AD1052">
        <v>10</v>
      </c>
      <c r="AE1052">
        <v>0</v>
      </c>
      <c r="AF1052">
        <v>3</v>
      </c>
      <c r="AG1052">
        <v>2</v>
      </c>
      <c r="AH1052">
        <v>1</v>
      </c>
      <c r="AI1052" t="s">
        <v>617</v>
      </c>
      <c r="AJ1052">
        <v>35.836801999999999</v>
      </c>
      <c r="AK1052" t="s">
        <v>618</v>
      </c>
      <c r="AL1052">
        <v>-83.947692000000004</v>
      </c>
      <c r="AM1052">
        <v>25</v>
      </c>
      <c r="AN1052">
        <v>1300</v>
      </c>
      <c r="AO1052" t="s">
        <v>118</v>
      </c>
      <c r="AP1052">
        <v>-69</v>
      </c>
      <c r="AQ1052">
        <v>68</v>
      </c>
      <c r="AR1052">
        <v>-320</v>
      </c>
      <c r="AZ1052">
        <v>300</v>
      </c>
      <c r="BA1052">
        <v>1</v>
      </c>
      <c r="BB1052" t="str">
        <f t="shared" si="50"/>
        <v xml:space="preserve">N162AM  </v>
      </c>
      <c r="BC1052">
        <v>1</v>
      </c>
      <c r="BE1052">
        <v>0</v>
      </c>
      <c r="BF1052">
        <v>0</v>
      </c>
      <c r="BG1052">
        <v>0</v>
      </c>
      <c r="BH1052">
        <v>1550</v>
      </c>
      <c r="BI1052">
        <v>1</v>
      </c>
      <c r="BJ1052">
        <v>1</v>
      </c>
      <c r="BK1052">
        <v>1</v>
      </c>
      <c r="BL1052">
        <v>0</v>
      </c>
      <c r="BO1052">
        <v>0</v>
      </c>
      <c r="BP1052">
        <v>0</v>
      </c>
      <c r="BW1052" t="str">
        <f>"14:47:14.083"</f>
        <v>14:47:14.083</v>
      </c>
      <c r="CJ1052">
        <v>3</v>
      </c>
      <c r="CK1052">
        <v>2</v>
      </c>
      <c r="CL1052">
        <v>0</v>
      </c>
      <c r="CM1052">
        <v>2</v>
      </c>
      <c r="CN1052">
        <v>0</v>
      </c>
      <c r="CO1052">
        <v>7</v>
      </c>
      <c r="CP1052" t="s">
        <v>119</v>
      </c>
      <c r="CQ1052">
        <v>232</v>
      </c>
      <c r="CR1052">
        <v>1</v>
      </c>
      <c r="CW1052">
        <v>15248650</v>
      </c>
      <c r="CY1052">
        <v>1</v>
      </c>
      <c r="CZ1052">
        <v>0</v>
      </c>
      <c r="DA1052">
        <v>1</v>
      </c>
      <c r="DB1052">
        <v>0</v>
      </c>
      <c r="DC1052">
        <v>0</v>
      </c>
      <c r="DD1052">
        <v>1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"12/16/2021 14:47:15.382"</f>
        <v>12/16/2021 14:47:15.382</v>
      </c>
      <c r="C1053" t="str">
        <f t="shared" si="49"/>
        <v>FFDFD3C0</v>
      </c>
      <c r="D1053" t="s">
        <v>133</v>
      </c>
      <c r="E1053">
        <v>44</v>
      </c>
      <c r="H1053">
        <v>131</v>
      </c>
      <c r="I1053" t="s">
        <v>134</v>
      </c>
      <c r="J1053" t="s">
        <v>135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"14:47:15.164"</f>
        <v>14:47:15.164</v>
      </c>
      <c r="T1053" t="str">
        <f>"14:47:14.664"</f>
        <v>14:47:14.664</v>
      </c>
      <c r="U1053" t="str">
        <f t="shared" si="48"/>
        <v>A0F928</v>
      </c>
      <c r="V1053">
        <v>0</v>
      </c>
      <c r="W1053">
        <v>0</v>
      </c>
      <c r="X1053">
        <v>2</v>
      </c>
      <c r="Z1053">
        <v>0</v>
      </c>
      <c r="AA1053">
        <v>9</v>
      </c>
      <c r="AB1053">
        <v>3</v>
      </c>
      <c r="AC1053">
        <v>0</v>
      </c>
      <c r="AD1053">
        <v>10</v>
      </c>
      <c r="AE1053">
        <v>0</v>
      </c>
      <c r="AF1053">
        <v>3</v>
      </c>
      <c r="AG1053">
        <v>2</v>
      </c>
      <c r="AH1053">
        <v>1</v>
      </c>
      <c r="AI1053" t="s">
        <v>619</v>
      </c>
      <c r="AJ1053">
        <v>35.837122999999998</v>
      </c>
      <c r="AK1053" t="s">
        <v>620</v>
      </c>
      <c r="AL1053">
        <v>-83.948077999999995</v>
      </c>
      <c r="AM1053">
        <v>25</v>
      </c>
      <c r="AN1053">
        <v>1300</v>
      </c>
      <c r="AO1053" t="s">
        <v>118</v>
      </c>
      <c r="AP1053">
        <v>-68</v>
      </c>
      <c r="AQ1053">
        <v>67</v>
      </c>
      <c r="AR1053">
        <v>-384</v>
      </c>
      <c r="AZ1053">
        <v>300</v>
      </c>
      <c r="BA1053">
        <v>1</v>
      </c>
      <c r="BB1053" t="str">
        <f t="shared" si="50"/>
        <v xml:space="preserve">N162AM  </v>
      </c>
      <c r="BC1053">
        <v>1</v>
      </c>
      <c r="BE1053">
        <v>0</v>
      </c>
      <c r="BF1053">
        <v>0</v>
      </c>
      <c r="BG1053">
        <v>0</v>
      </c>
      <c r="BH1053">
        <v>1550</v>
      </c>
      <c r="BI1053">
        <v>1</v>
      </c>
      <c r="BJ1053">
        <v>1</v>
      </c>
      <c r="BK1053">
        <v>1</v>
      </c>
      <c r="BL1053">
        <v>0</v>
      </c>
      <c r="BO1053">
        <v>0</v>
      </c>
      <c r="BP1053">
        <v>0</v>
      </c>
      <c r="BW1053" t="str">
        <f>"14:47:15.165"</f>
        <v>14:47:15.165</v>
      </c>
      <c r="CJ1053">
        <v>3</v>
      </c>
      <c r="CK1053">
        <v>2</v>
      </c>
      <c r="CL1053">
        <v>0</v>
      </c>
      <c r="CM1053">
        <v>2</v>
      </c>
      <c r="CN1053">
        <v>0</v>
      </c>
      <c r="CO1053">
        <v>6</v>
      </c>
      <c r="CP1053" t="s">
        <v>119</v>
      </c>
      <c r="CQ1053">
        <v>232</v>
      </c>
      <c r="CR1053">
        <v>1</v>
      </c>
      <c r="CW1053">
        <v>15250324</v>
      </c>
      <c r="CY1053">
        <v>1</v>
      </c>
      <c r="CZ1053">
        <v>0</v>
      </c>
      <c r="DA1053">
        <v>0</v>
      </c>
      <c r="DB1053">
        <v>0</v>
      </c>
      <c r="DC1053">
        <v>0</v>
      </c>
      <c r="DD1053">
        <v>1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"12/16/2021 14:47:15.350"</f>
        <v>12/16/2021 14:47:15.350</v>
      </c>
      <c r="C1054" t="str">
        <f t="shared" si="49"/>
        <v>FFDFD3C0</v>
      </c>
      <c r="D1054" t="s">
        <v>124</v>
      </c>
      <c r="E1054">
        <v>5</v>
      </c>
      <c r="F1054">
        <v>1005</v>
      </c>
      <c r="G1054" t="s">
        <v>114</v>
      </c>
      <c r="J1054" t="s">
        <v>125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"14:47:15.164"</f>
        <v>14:47:15.164</v>
      </c>
      <c r="T1054" t="str">
        <f>"14:47:14.664"</f>
        <v>14:47:14.664</v>
      </c>
      <c r="U1054" t="str">
        <f t="shared" si="48"/>
        <v>A0F928</v>
      </c>
      <c r="V1054">
        <v>0</v>
      </c>
      <c r="W1054">
        <v>0</v>
      </c>
      <c r="X1054">
        <v>2</v>
      </c>
      <c r="Z1054">
        <v>0</v>
      </c>
      <c r="AA1054">
        <v>9</v>
      </c>
      <c r="AB1054">
        <v>3</v>
      </c>
      <c r="AC1054">
        <v>0</v>
      </c>
      <c r="AD1054">
        <v>10</v>
      </c>
      <c r="AE1054">
        <v>0</v>
      </c>
      <c r="AF1054">
        <v>3</v>
      </c>
      <c r="AG1054">
        <v>2</v>
      </c>
      <c r="AH1054">
        <v>1</v>
      </c>
      <c r="AI1054" t="s">
        <v>619</v>
      </c>
      <c r="AJ1054">
        <v>35.837122999999998</v>
      </c>
      <c r="AK1054" t="s">
        <v>620</v>
      </c>
      <c r="AL1054">
        <v>-83.948077999999995</v>
      </c>
      <c r="AM1054">
        <v>25</v>
      </c>
      <c r="AN1054">
        <v>1300</v>
      </c>
      <c r="AO1054" t="s">
        <v>118</v>
      </c>
      <c r="AP1054">
        <v>-68</v>
      </c>
      <c r="AQ1054">
        <v>67</v>
      </c>
      <c r="AR1054">
        <v>-384</v>
      </c>
      <c r="AZ1054">
        <v>300</v>
      </c>
      <c r="BA1054">
        <v>1</v>
      </c>
      <c r="BB1054" t="str">
        <f t="shared" si="50"/>
        <v xml:space="preserve">N162AM  </v>
      </c>
      <c r="BC1054">
        <v>1</v>
      </c>
      <c r="BE1054">
        <v>0</v>
      </c>
      <c r="BF1054">
        <v>0</v>
      </c>
      <c r="BG1054">
        <v>0</v>
      </c>
      <c r="BH1054">
        <v>1550</v>
      </c>
      <c r="BI1054">
        <v>1</v>
      </c>
      <c r="BJ1054">
        <v>1</v>
      </c>
      <c r="BK1054">
        <v>1</v>
      </c>
      <c r="BL1054">
        <v>0</v>
      </c>
      <c r="BO1054">
        <v>0</v>
      </c>
      <c r="BP1054">
        <v>0</v>
      </c>
      <c r="BW1054" t="str">
        <f>"14:47:15.165"</f>
        <v>14:47:15.165</v>
      </c>
      <c r="CJ1054">
        <v>3</v>
      </c>
      <c r="CK1054">
        <v>2</v>
      </c>
      <c r="CL1054">
        <v>0</v>
      </c>
      <c r="CM1054">
        <v>2</v>
      </c>
      <c r="CN1054">
        <v>0</v>
      </c>
      <c r="CO1054">
        <v>6</v>
      </c>
      <c r="CP1054" t="s">
        <v>119</v>
      </c>
      <c r="CQ1054">
        <v>232</v>
      </c>
      <c r="CR1054">
        <v>1</v>
      </c>
      <c r="CW1054">
        <v>15250324</v>
      </c>
      <c r="CY1054">
        <v>1</v>
      </c>
      <c r="CZ1054">
        <v>0</v>
      </c>
      <c r="DA1054">
        <v>1</v>
      </c>
      <c r="DB1054">
        <v>0</v>
      </c>
      <c r="DC1054">
        <v>0</v>
      </c>
      <c r="DD1054">
        <v>1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"12/16/2021 14:47:15.397"</f>
        <v>12/16/2021 14:47:15.397</v>
      </c>
      <c r="C1055" t="str">
        <f t="shared" si="49"/>
        <v>FFDFD3C0</v>
      </c>
      <c r="D1055" t="s">
        <v>113</v>
      </c>
      <c r="E1055">
        <v>8</v>
      </c>
      <c r="H1055">
        <v>176</v>
      </c>
      <c r="I1055" t="s">
        <v>114</v>
      </c>
      <c r="J1055" t="s">
        <v>115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"14:47:15.164"</f>
        <v>14:47:15.164</v>
      </c>
      <c r="T1055" t="str">
        <f>"14:47:14.664"</f>
        <v>14:47:14.664</v>
      </c>
      <c r="U1055" t="str">
        <f t="shared" si="48"/>
        <v>A0F928</v>
      </c>
      <c r="V1055">
        <v>0</v>
      </c>
      <c r="W1055">
        <v>0</v>
      </c>
      <c r="X1055">
        <v>2</v>
      </c>
      <c r="Z1055">
        <v>0</v>
      </c>
      <c r="AA1055">
        <v>9</v>
      </c>
      <c r="AB1055">
        <v>3</v>
      </c>
      <c r="AC1055">
        <v>0</v>
      </c>
      <c r="AD1055">
        <v>10</v>
      </c>
      <c r="AE1055">
        <v>0</v>
      </c>
      <c r="AF1055">
        <v>3</v>
      </c>
      <c r="AG1055">
        <v>2</v>
      </c>
      <c r="AH1055">
        <v>1</v>
      </c>
      <c r="AI1055" t="s">
        <v>619</v>
      </c>
      <c r="AJ1055">
        <v>35.837122999999998</v>
      </c>
      <c r="AK1055" t="s">
        <v>620</v>
      </c>
      <c r="AL1055">
        <v>-83.948077999999995</v>
      </c>
      <c r="AM1055">
        <v>25</v>
      </c>
      <c r="AN1055">
        <v>1300</v>
      </c>
      <c r="AO1055" t="s">
        <v>118</v>
      </c>
      <c r="AP1055">
        <v>-68</v>
      </c>
      <c r="AQ1055">
        <v>67</v>
      </c>
      <c r="AR1055">
        <v>-384</v>
      </c>
      <c r="AZ1055">
        <v>300</v>
      </c>
      <c r="BA1055">
        <v>1</v>
      </c>
      <c r="BB1055" t="str">
        <f t="shared" si="50"/>
        <v xml:space="preserve">N162AM  </v>
      </c>
      <c r="BC1055">
        <v>1</v>
      </c>
      <c r="BE1055">
        <v>0</v>
      </c>
      <c r="BF1055">
        <v>0</v>
      </c>
      <c r="BG1055">
        <v>0</v>
      </c>
      <c r="BH1055">
        <v>1550</v>
      </c>
      <c r="BI1055">
        <v>1</v>
      </c>
      <c r="BJ1055">
        <v>1</v>
      </c>
      <c r="BK1055">
        <v>1</v>
      </c>
      <c r="BL1055">
        <v>0</v>
      </c>
      <c r="BO1055">
        <v>0</v>
      </c>
      <c r="BP1055">
        <v>0</v>
      </c>
      <c r="BW1055" t="str">
        <f>"14:47:15.165"</f>
        <v>14:47:15.165</v>
      </c>
      <c r="CJ1055">
        <v>3</v>
      </c>
      <c r="CK1055">
        <v>2</v>
      </c>
      <c r="CL1055">
        <v>0</v>
      </c>
      <c r="CM1055">
        <v>2</v>
      </c>
      <c r="CN1055">
        <v>0</v>
      </c>
      <c r="CO1055">
        <v>6</v>
      </c>
      <c r="CP1055" t="s">
        <v>119</v>
      </c>
      <c r="CQ1055">
        <v>232</v>
      </c>
      <c r="CR1055">
        <v>1</v>
      </c>
      <c r="CW1055">
        <v>15250324</v>
      </c>
      <c r="CY1055">
        <v>1</v>
      </c>
      <c r="CZ1055">
        <v>0</v>
      </c>
      <c r="DA1055">
        <v>1</v>
      </c>
      <c r="DB1055">
        <v>0</v>
      </c>
      <c r="DC1055">
        <v>0</v>
      </c>
      <c r="DD1055">
        <v>1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"12/16/2021 14:47:15.397"</f>
        <v>12/16/2021 14:47:15.397</v>
      </c>
      <c r="C1056" t="str">
        <f t="shared" si="49"/>
        <v>FFDFD3C0</v>
      </c>
      <c r="D1056" t="s">
        <v>124</v>
      </c>
      <c r="E1056">
        <v>10</v>
      </c>
      <c r="F1056">
        <v>1010</v>
      </c>
      <c r="G1056" t="s">
        <v>130</v>
      </c>
      <c r="J1056" t="s">
        <v>125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"14:47:15.164"</f>
        <v>14:47:15.164</v>
      </c>
      <c r="T1056" t="str">
        <f>"14:47:14.664"</f>
        <v>14:47:14.664</v>
      </c>
      <c r="U1056" t="str">
        <f t="shared" si="48"/>
        <v>A0F928</v>
      </c>
      <c r="V1056">
        <v>0</v>
      </c>
      <c r="W1056">
        <v>0</v>
      </c>
      <c r="X1056">
        <v>2</v>
      </c>
      <c r="Z1056">
        <v>0</v>
      </c>
      <c r="AA1056">
        <v>9</v>
      </c>
      <c r="AB1056">
        <v>3</v>
      </c>
      <c r="AC1056">
        <v>0</v>
      </c>
      <c r="AD1056">
        <v>10</v>
      </c>
      <c r="AE1056">
        <v>0</v>
      </c>
      <c r="AF1056">
        <v>0</v>
      </c>
      <c r="AG1056">
        <v>2</v>
      </c>
      <c r="AH1056">
        <v>1</v>
      </c>
      <c r="AI1056" t="s">
        <v>619</v>
      </c>
      <c r="AJ1056">
        <v>35.837122999999998</v>
      </c>
      <c r="AK1056" t="s">
        <v>620</v>
      </c>
      <c r="AL1056">
        <v>-83.948077999999995</v>
      </c>
      <c r="AM1056">
        <v>25</v>
      </c>
      <c r="AN1056">
        <v>1300</v>
      </c>
      <c r="AO1056" t="s">
        <v>118</v>
      </c>
      <c r="AP1056">
        <v>-68</v>
      </c>
      <c r="AQ1056">
        <v>67</v>
      </c>
      <c r="AR1056">
        <v>-384</v>
      </c>
      <c r="AZ1056">
        <v>300</v>
      </c>
      <c r="BA1056">
        <v>1</v>
      </c>
      <c r="BB1056" t="str">
        <f t="shared" si="50"/>
        <v xml:space="preserve">N162AM  </v>
      </c>
      <c r="BC1056">
        <v>1</v>
      </c>
      <c r="BE1056">
        <v>0</v>
      </c>
      <c r="BF1056">
        <v>0</v>
      </c>
      <c r="BG1056">
        <v>0</v>
      </c>
      <c r="BH1056">
        <v>1550</v>
      </c>
      <c r="BI1056">
        <v>1</v>
      </c>
      <c r="BJ1056">
        <v>1</v>
      </c>
      <c r="BK1056">
        <v>1</v>
      </c>
      <c r="BL1056">
        <v>0</v>
      </c>
      <c r="BO1056">
        <v>0</v>
      </c>
      <c r="BP1056">
        <v>0</v>
      </c>
      <c r="BW1056" t="str">
        <f>"14:47:15.165"</f>
        <v>14:47:15.165</v>
      </c>
      <c r="CJ1056">
        <v>2</v>
      </c>
      <c r="CK1056">
        <v>2</v>
      </c>
      <c r="CL1056">
        <v>0</v>
      </c>
      <c r="CM1056">
        <v>2</v>
      </c>
      <c r="CN1056">
        <v>0</v>
      </c>
      <c r="CO1056">
        <v>6</v>
      </c>
      <c r="CP1056" t="s">
        <v>119</v>
      </c>
      <c r="CQ1056">
        <v>232</v>
      </c>
      <c r="CR1056">
        <v>1</v>
      </c>
      <c r="CW1056">
        <v>15250324</v>
      </c>
      <c r="CY1056">
        <v>1</v>
      </c>
      <c r="CZ1056">
        <v>0</v>
      </c>
      <c r="DA1056">
        <v>1</v>
      </c>
      <c r="DB1056">
        <v>0</v>
      </c>
      <c r="DC1056">
        <v>0</v>
      </c>
      <c r="DD1056">
        <v>1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"12/16/2021 14:47:16.960"</f>
        <v>12/16/2021 14:47:16.960</v>
      </c>
      <c r="C1057" t="str">
        <f t="shared" si="49"/>
        <v>FFDFD3C0</v>
      </c>
      <c r="D1057" t="s">
        <v>124</v>
      </c>
      <c r="E1057">
        <v>5</v>
      </c>
      <c r="F1057">
        <v>1005</v>
      </c>
      <c r="G1057" t="s">
        <v>114</v>
      </c>
      <c r="J1057" t="s">
        <v>125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"14:47:16.773"</f>
        <v>14:47:16.773</v>
      </c>
      <c r="T1057" t="str">
        <f>"14:47:16.273"</f>
        <v>14:47:16.273</v>
      </c>
      <c r="U1057" t="str">
        <f t="shared" si="48"/>
        <v>A0F928</v>
      </c>
      <c r="V1057">
        <v>0</v>
      </c>
      <c r="W1057">
        <v>0</v>
      </c>
      <c r="X1057">
        <v>2</v>
      </c>
      <c r="Z1057">
        <v>0</v>
      </c>
      <c r="AA1057">
        <v>9</v>
      </c>
      <c r="AB1057">
        <v>3</v>
      </c>
      <c r="AC1057">
        <v>0</v>
      </c>
      <c r="AD1057">
        <v>10</v>
      </c>
      <c r="AE1057">
        <v>0</v>
      </c>
      <c r="AF1057">
        <v>3</v>
      </c>
      <c r="AG1057">
        <v>2</v>
      </c>
      <c r="AH1057">
        <v>1</v>
      </c>
      <c r="AI1057" t="s">
        <v>621</v>
      </c>
      <c r="AJ1057">
        <v>35.837637999999998</v>
      </c>
      <c r="AK1057" t="s">
        <v>622</v>
      </c>
      <c r="AL1057">
        <v>-83.948700000000002</v>
      </c>
      <c r="AM1057">
        <v>25</v>
      </c>
      <c r="AN1057">
        <v>1300</v>
      </c>
      <c r="AO1057" t="s">
        <v>118</v>
      </c>
      <c r="AP1057">
        <v>-68</v>
      </c>
      <c r="AQ1057">
        <v>65</v>
      </c>
      <c r="AR1057">
        <v>-320</v>
      </c>
      <c r="AZ1057">
        <v>300</v>
      </c>
      <c r="BA1057">
        <v>1</v>
      </c>
      <c r="BB1057" t="str">
        <f t="shared" si="50"/>
        <v xml:space="preserve">N162AM  </v>
      </c>
      <c r="BC1057">
        <v>1</v>
      </c>
      <c r="BE1057">
        <v>0</v>
      </c>
      <c r="BF1057">
        <v>0</v>
      </c>
      <c r="BG1057">
        <v>0</v>
      </c>
      <c r="BH1057">
        <v>1550</v>
      </c>
      <c r="BI1057">
        <v>1</v>
      </c>
      <c r="BJ1057">
        <v>1</v>
      </c>
      <c r="BK1057">
        <v>1</v>
      </c>
      <c r="BL1057">
        <v>0</v>
      </c>
      <c r="BO1057">
        <v>0</v>
      </c>
      <c r="BP1057">
        <v>0</v>
      </c>
      <c r="BW1057" t="str">
        <f>"14:47:16.774"</f>
        <v>14:47:16.774</v>
      </c>
      <c r="CJ1057">
        <v>3</v>
      </c>
      <c r="CK1057">
        <v>2</v>
      </c>
      <c r="CL1057">
        <v>0</v>
      </c>
      <c r="CM1057">
        <v>2</v>
      </c>
      <c r="CN1057">
        <v>0</v>
      </c>
      <c r="CO1057">
        <v>6</v>
      </c>
      <c r="CP1057" t="s">
        <v>119</v>
      </c>
      <c r="CQ1057">
        <v>232</v>
      </c>
      <c r="CR1057">
        <v>1</v>
      </c>
      <c r="CW1057">
        <v>15252786</v>
      </c>
      <c r="CY1057">
        <v>1</v>
      </c>
      <c r="CZ1057">
        <v>0</v>
      </c>
      <c r="DA1057">
        <v>0</v>
      </c>
      <c r="DB1057">
        <v>0</v>
      </c>
      <c r="DC1057">
        <v>0</v>
      </c>
      <c r="DD1057">
        <v>1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"12/16/2021 14:47:16.991"</f>
        <v>12/16/2021 14:47:16.991</v>
      </c>
      <c r="C1058" t="str">
        <f t="shared" si="49"/>
        <v>FFDFD3C0</v>
      </c>
      <c r="D1058" t="s">
        <v>113</v>
      </c>
      <c r="E1058">
        <v>8</v>
      </c>
      <c r="H1058">
        <v>176</v>
      </c>
      <c r="I1058" t="s">
        <v>114</v>
      </c>
      <c r="J1058" t="s">
        <v>115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"14:47:16.773"</f>
        <v>14:47:16.773</v>
      </c>
      <c r="T1058" t="str">
        <f>"14:47:16.273"</f>
        <v>14:47:16.273</v>
      </c>
      <c r="U1058" t="str">
        <f t="shared" si="48"/>
        <v>A0F928</v>
      </c>
      <c r="V1058">
        <v>0</v>
      </c>
      <c r="W1058">
        <v>0</v>
      </c>
      <c r="X1058">
        <v>2</v>
      </c>
      <c r="Z1058">
        <v>0</v>
      </c>
      <c r="AA1058">
        <v>9</v>
      </c>
      <c r="AB1058">
        <v>3</v>
      </c>
      <c r="AC1058">
        <v>0</v>
      </c>
      <c r="AD1058">
        <v>10</v>
      </c>
      <c r="AE1058">
        <v>0</v>
      </c>
      <c r="AF1058">
        <v>3</v>
      </c>
      <c r="AG1058">
        <v>2</v>
      </c>
      <c r="AH1058">
        <v>1</v>
      </c>
      <c r="AI1058" t="s">
        <v>621</v>
      </c>
      <c r="AJ1058">
        <v>35.837637999999998</v>
      </c>
      <c r="AK1058" t="s">
        <v>622</v>
      </c>
      <c r="AL1058">
        <v>-83.948700000000002</v>
      </c>
      <c r="AM1058">
        <v>25</v>
      </c>
      <c r="AN1058">
        <v>1300</v>
      </c>
      <c r="AO1058" t="s">
        <v>118</v>
      </c>
      <c r="AP1058">
        <v>-68</v>
      </c>
      <c r="AQ1058">
        <v>65</v>
      </c>
      <c r="AR1058">
        <v>-320</v>
      </c>
      <c r="AZ1058">
        <v>300</v>
      </c>
      <c r="BA1058">
        <v>1</v>
      </c>
      <c r="BB1058" t="str">
        <f t="shared" si="50"/>
        <v xml:space="preserve">N162AM  </v>
      </c>
      <c r="BC1058">
        <v>1</v>
      </c>
      <c r="BE1058">
        <v>0</v>
      </c>
      <c r="BF1058">
        <v>0</v>
      </c>
      <c r="BG1058">
        <v>0</v>
      </c>
      <c r="BH1058">
        <v>1550</v>
      </c>
      <c r="BI1058">
        <v>1</v>
      </c>
      <c r="BJ1058">
        <v>1</v>
      </c>
      <c r="BK1058">
        <v>1</v>
      </c>
      <c r="BL1058">
        <v>0</v>
      </c>
      <c r="BO1058">
        <v>0</v>
      </c>
      <c r="BP1058">
        <v>0</v>
      </c>
      <c r="BW1058" t="str">
        <f>"14:47:16.774"</f>
        <v>14:47:16.774</v>
      </c>
      <c r="CJ1058">
        <v>3</v>
      </c>
      <c r="CK1058">
        <v>2</v>
      </c>
      <c r="CL1058">
        <v>0</v>
      </c>
      <c r="CM1058">
        <v>2</v>
      </c>
      <c r="CN1058">
        <v>0</v>
      </c>
      <c r="CO1058">
        <v>6</v>
      </c>
      <c r="CP1058" t="s">
        <v>119</v>
      </c>
      <c r="CQ1058">
        <v>232</v>
      </c>
      <c r="CR1058">
        <v>1</v>
      </c>
      <c r="CW1058">
        <v>15252786</v>
      </c>
      <c r="CY1058">
        <v>1</v>
      </c>
      <c r="CZ1058">
        <v>0</v>
      </c>
      <c r="DA1058">
        <v>1</v>
      </c>
      <c r="DB1058">
        <v>0</v>
      </c>
      <c r="DC1058">
        <v>0</v>
      </c>
      <c r="DD1058">
        <v>1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"12/16/2021 14:47:16.991"</f>
        <v>12/16/2021 14:47:16.991</v>
      </c>
      <c r="C1059" t="str">
        <f t="shared" si="49"/>
        <v>FFDFD3C0</v>
      </c>
      <c r="D1059" t="s">
        <v>133</v>
      </c>
      <c r="E1059">
        <v>44</v>
      </c>
      <c r="H1059">
        <v>131</v>
      </c>
      <c r="I1059" t="s">
        <v>134</v>
      </c>
      <c r="J1059" t="s">
        <v>135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"14:47:16.773"</f>
        <v>14:47:16.773</v>
      </c>
      <c r="T1059" t="str">
        <f>"14:47:16.273"</f>
        <v>14:47:16.273</v>
      </c>
      <c r="U1059" t="str">
        <f t="shared" si="48"/>
        <v>A0F928</v>
      </c>
      <c r="V1059">
        <v>0</v>
      </c>
      <c r="W1059">
        <v>0</v>
      </c>
      <c r="X1059">
        <v>2</v>
      </c>
      <c r="Z1059">
        <v>0</v>
      </c>
      <c r="AA1059">
        <v>9</v>
      </c>
      <c r="AB1059">
        <v>3</v>
      </c>
      <c r="AC1059">
        <v>0</v>
      </c>
      <c r="AD1059">
        <v>10</v>
      </c>
      <c r="AE1059">
        <v>0</v>
      </c>
      <c r="AF1059">
        <v>3</v>
      </c>
      <c r="AG1059">
        <v>2</v>
      </c>
      <c r="AH1059">
        <v>1</v>
      </c>
      <c r="AI1059" t="s">
        <v>621</v>
      </c>
      <c r="AJ1059">
        <v>35.837637999999998</v>
      </c>
      <c r="AK1059" t="s">
        <v>622</v>
      </c>
      <c r="AL1059">
        <v>-83.948700000000002</v>
      </c>
      <c r="AM1059">
        <v>25</v>
      </c>
      <c r="AN1059">
        <v>1300</v>
      </c>
      <c r="AO1059" t="s">
        <v>118</v>
      </c>
      <c r="AP1059">
        <v>-68</v>
      </c>
      <c r="AQ1059">
        <v>65</v>
      </c>
      <c r="AR1059">
        <v>-320</v>
      </c>
      <c r="AZ1059">
        <v>300</v>
      </c>
      <c r="BA1059">
        <v>1</v>
      </c>
      <c r="BB1059" t="str">
        <f t="shared" si="50"/>
        <v xml:space="preserve">N162AM  </v>
      </c>
      <c r="BC1059">
        <v>1</v>
      </c>
      <c r="BE1059">
        <v>0</v>
      </c>
      <c r="BF1059">
        <v>0</v>
      </c>
      <c r="BG1059">
        <v>0</v>
      </c>
      <c r="BH1059">
        <v>1550</v>
      </c>
      <c r="BI1059">
        <v>1</v>
      </c>
      <c r="BJ1059">
        <v>1</v>
      </c>
      <c r="BK1059">
        <v>1</v>
      </c>
      <c r="BL1059">
        <v>0</v>
      </c>
      <c r="BO1059">
        <v>0</v>
      </c>
      <c r="BP1059">
        <v>0</v>
      </c>
      <c r="BW1059" t="str">
        <f>"14:47:16.774"</f>
        <v>14:47:16.774</v>
      </c>
      <c r="CJ1059">
        <v>3</v>
      </c>
      <c r="CK1059">
        <v>2</v>
      </c>
      <c r="CL1059">
        <v>0</v>
      </c>
      <c r="CM1059">
        <v>2</v>
      </c>
      <c r="CN1059">
        <v>0</v>
      </c>
      <c r="CO1059">
        <v>6</v>
      </c>
      <c r="CP1059" t="s">
        <v>119</v>
      </c>
      <c r="CQ1059">
        <v>232</v>
      </c>
      <c r="CR1059">
        <v>1</v>
      </c>
      <c r="CW1059">
        <v>15252786</v>
      </c>
      <c r="CY1059">
        <v>1</v>
      </c>
      <c r="CZ1059">
        <v>0</v>
      </c>
      <c r="DA1059">
        <v>1</v>
      </c>
      <c r="DB1059">
        <v>0</v>
      </c>
      <c r="DC1059">
        <v>0</v>
      </c>
      <c r="DD1059">
        <v>1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"12/16/2021 14:47:16.991"</f>
        <v>12/16/2021 14:47:16.991</v>
      </c>
      <c r="C1060" t="str">
        <f t="shared" si="49"/>
        <v>FFDFD3C0</v>
      </c>
      <c r="D1060" t="s">
        <v>124</v>
      </c>
      <c r="E1060">
        <v>10</v>
      </c>
      <c r="F1060">
        <v>1010</v>
      </c>
      <c r="G1060" t="s">
        <v>130</v>
      </c>
      <c r="J1060" t="s">
        <v>125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"14:47:16.773"</f>
        <v>14:47:16.773</v>
      </c>
      <c r="T1060" t="str">
        <f>"14:47:16.273"</f>
        <v>14:47:16.273</v>
      </c>
      <c r="U1060" t="str">
        <f t="shared" si="48"/>
        <v>A0F928</v>
      </c>
      <c r="V1060">
        <v>0</v>
      </c>
      <c r="W1060">
        <v>0</v>
      </c>
      <c r="X1060">
        <v>2</v>
      </c>
      <c r="Z1060">
        <v>0</v>
      </c>
      <c r="AA1060">
        <v>9</v>
      </c>
      <c r="AB1060">
        <v>3</v>
      </c>
      <c r="AC1060">
        <v>0</v>
      </c>
      <c r="AD1060">
        <v>10</v>
      </c>
      <c r="AE1060">
        <v>0</v>
      </c>
      <c r="AF1060">
        <v>0</v>
      </c>
      <c r="AG1060">
        <v>2</v>
      </c>
      <c r="AH1060">
        <v>1</v>
      </c>
      <c r="AI1060" t="s">
        <v>621</v>
      </c>
      <c r="AJ1060">
        <v>35.837637999999998</v>
      </c>
      <c r="AK1060" t="s">
        <v>622</v>
      </c>
      <c r="AL1060">
        <v>-83.948700000000002</v>
      </c>
      <c r="AM1060">
        <v>25</v>
      </c>
      <c r="AN1060">
        <v>1300</v>
      </c>
      <c r="AO1060" t="s">
        <v>118</v>
      </c>
      <c r="AP1060">
        <v>-68</v>
      </c>
      <c r="AQ1060">
        <v>65</v>
      </c>
      <c r="AR1060">
        <v>-320</v>
      </c>
      <c r="AZ1060">
        <v>300</v>
      </c>
      <c r="BA1060">
        <v>1</v>
      </c>
      <c r="BB1060" t="str">
        <f t="shared" si="50"/>
        <v xml:space="preserve">N162AM  </v>
      </c>
      <c r="BC1060">
        <v>1</v>
      </c>
      <c r="BE1060">
        <v>0</v>
      </c>
      <c r="BF1060">
        <v>0</v>
      </c>
      <c r="BG1060">
        <v>0</v>
      </c>
      <c r="BH1060">
        <v>1550</v>
      </c>
      <c r="BI1060">
        <v>1</v>
      </c>
      <c r="BJ1060">
        <v>1</v>
      </c>
      <c r="BK1060">
        <v>1</v>
      </c>
      <c r="BL1060">
        <v>0</v>
      </c>
      <c r="BO1060">
        <v>0</v>
      </c>
      <c r="BP1060">
        <v>0</v>
      </c>
      <c r="BW1060" t="str">
        <f>"14:47:16.774"</f>
        <v>14:47:16.774</v>
      </c>
      <c r="CJ1060">
        <v>2</v>
      </c>
      <c r="CK1060">
        <v>2</v>
      </c>
      <c r="CL1060">
        <v>0</v>
      </c>
      <c r="CM1060">
        <v>2</v>
      </c>
      <c r="CN1060">
        <v>0</v>
      </c>
      <c r="CO1060">
        <v>6</v>
      </c>
      <c r="CP1060" t="s">
        <v>119</v>
      </c>
      <c r="CQ1060">
        <v>232</v>
      </c>
      <c r="CR1060">
        <v>1</v>
      </c>
      <c r="CW1060">
        <v>15252786</v>
      </c>
      <c r="CY1060">
        <v>1</v>
      </c>
      <c r="CZ1060">
        <v>0</v>
      </c>
      <c r="DA1060">
        <v>1</v>
      </c>
      <c r="DB1060">
        <v>0</v>
      </c>
      <c r="DC1060">
        <v>0</v>
      </c>
      <c r="DD1060">
        <v>1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"12/16/2021 14:47:17.976"</f>
        <v>12/16/2021 14:47:17.976</v>
      </c>
      <c r="C1061" t="str">
        <f t="shared" si="49"/>
        <v>FFDFD3C0</v>
      </c>
      <c r="D1061" t="s">
        <v>124</v>
      </c>
      <c r="E1061">
        <v>5</v>
      </c>
      <c r="F1061">
        <v>1005</v>
      </c>
      <c r="G1061" t="s">
        <v>114</v>
      </c>
      <c r="J1061" t="s">
        <v>125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"14:47:17.758"</f>
        <v>14:47:17.758</v>
      </c>
      <c r="T1061" t="str">
        <f>"14:47:17.258"</f>
        <v>14:47:17.258</v>
      </c>
      <c r="U1061" t="str">
        <f t="shared" si="48"/>
        <v>A0F928</v>
      </c>
      <c r="V1061">
        <v>0</v>
      </c>
      <c r="W1061">
        <v>0</v>
      </c>
      <c r="X1061">
        <v>2</v>
      </c>
      <c r="Z1061">
        <v>0</v>
      </c>
      <c r="AA1061">
        <v>9</v>
      </c>
      <c r="AB1061">
        <v>3</v>
      </c>
      <c r="AC1061">
        <v>0</v>
      </c>
      <c r="AD1061">
        <v>10</v>
      </c>
      <c r="AE1061">
        <v>0</v>
      </c>
      <c r="AF1061">
        <v>3</v>
      </c>
      <c r="AG1061">
        <v>2</v>
      </c>
      <c r="AH1061">
        <v>1</v>
      </c>
      <c r="AI1061" t="s">
        <v>623</v>
      </c>
      <c r="AJ1061">
        <v>35.837896000000001</v>
      </c>
      <c r="AK1061" t="s">
        <v>554</v>
      </c>
      <c r="AL1061">
        <v>-83.949107999999995</v>
      </c>
      <c r="AM1061">
        <v>25</v>
      </c>
      <c r="AN1061">
        <v>1300</v>
      </c>
      <c r="AO1061" t="s">
        <v>118</v>
      </c>
      <c r="AP1061">
        <v>-68</v>
      </c>
      <c r="AQ1061">
        <v>64</v>
      </c>
      <c r="AR1061">
        <v>-320</v>
      </c>
      <c r="AZ1061">
        <v>300</v>
      </c>
      <c r="BA1061">
        <v>1</v>
      </c>
      <c r="BB1061" t="str">
        <f t="shared" si="50"/>
        <v xml:space="preserve">N162AM  </v>
      </c>
      <c r="BC1061">
        <v>1</v>
      </c>
      <c r="BE1061">
        <v>0</v>
      </c>
      <c r="BF1061">
        <v>0</v>
      </c>
      <c r="BG1061">
        <v>0</v>
      </c>
      <c r="BH1061">
        <v>1550</v>
      </c>
      <c r="BI1061">
        <v>1</v>
      </c>
      <c r="BJ1061">
        <v>1</v>
      </c>
      <c r="BK1061">
        <v>1</v>
      </c>
      <c r="BL1061">
        <v>0</v>
      </c>
      <c r="BO1061">
        <v>0</v>
      </c>
      <c r="BP1061">
        <v>0</v>
      </c>
      <c r="BW1061" t="str">
        <f>"14:47:17.758"</f>
        <v>14:47:17.758</v>
      </c>
      <c r="CJ1061">
        <v>3</v>
      </c>
      <c r="CK1061">
        <v>2</v>
      </c>
      <c r="CL1061">
        <v>0</v>
      </c>
      <c r="CM1061">
        <v>2</v>
      </c>
      <c r="CN1061">
        <v>0</v>
      </c>
      <c r="CO1061">
        <v>6</v>
      </c>
      <c r="CP1061" t="s">
        <v>119</v>
      </c>
      <c r="CQ1061">
        <v>232</v>
      </c>
      <c r="CR1061">
        <v>1</v>
      </c>
      <c r="CW1061">
        <v>15254226</v>
      </c>
      <c r="CY1061">
        <v>1</v>
      </c>
      <c r="CZ1061">
        <v>0</v>
      </c>
      <c r="DA1061">
        <v>0</v>
      </c>
      <c r="DB1061">
        <v>0</v>
      </c>
      <c r="DC1061">
        <v>0</v>
      </c>
      <c r="DD1061">
        <v>1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"12/16/2021 14:47:18.007"</f>
        <v>12/16/2021 14:47:18.007</v>
      </c>
      <c r="C1062" t="str">
        <f t="shared" si="49"/>
        <v>FFDFD3C0</v>
      </c>
      <c r="D1062" t="s">
        <v>113</v>
      </c>
      <c r="E1062">
        <v>8</v>
      </c>
      <c r="H1062">
        <v>176</v>
      </c>
      <c r="I1062" t="s">
        <v>114</v>
      </c>
      <c r="J1062" t="s">
        <v>115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"14:47:17.758"</f>
        <v>14:47:17.758</v>
      </c>
      <c r="T1062" t="str">
        <f>"14:47:17.258"</f>
        <v>14:47:17.258</v>
      </c>
      <c r="U1062" t="str">
        <f t="shared" si="48"/>
        <v>A0F928</v>
      </c>
      <c r="V1062">
        <v>0</v>
      </c>
      <c r="W1062">
        <v>0</v>
      </c>
      <c r="X1062">
        <v>2</v>
      </c>
      <c r="Z1062">
        <v>0</v>
      </c>
      <c r="AA1062">
        <v>9</v>
      </c>
      <c r="AB1062">
        <v>3</v>
      </c>
      <c r="AC1062">
        <v>0</v>
      </c>
      <c r="AD1062">
        <v>10</v>
      </c>
      <c r="AE1062">
        <v>0</v>
      </c>
      <c r="AF1062">
        <v>3</v>
      </c>
      <c r="AG1062">
        <v>2</v>
      </c>
      <c r="AH1062">
        <v>1</v>
      </c>
      <c r="AI1062" t="s">
        <v>623</v>
      </c>
      <c r="AJ1062">
        <v>35.837896000000001</v>
      </c>
      <c r="AK1062" t="s">
        <v>554</v>
      </c>
      <c r="AL1062">
        <v>-83.949107999999995</v>
      </c>
      <c r="AM1062">
        <v>25</v>
      </c>
      <c r="AN1062">
        <v>1300</v>
      </c>
      <c r="AO1062" t="s">
        <v>118</v>
      </c>
      <c r="AP1062">
        <v>-68</v>
      </c>
      <c r="AQ1062">
        <v>64</v>
      </c>
      <c r="AR1062">
        <v>-320</v>
      </c>
      <c r="AZ1062">
        <v>300</v>
      </c>
      <c r="BA1062">
        <v>1</v>
      </c>
      <c r="BB1062" t="str">
        <f t="shared" si="50"/>
        <v xml:space="preserve">N162AM  </v>
      </c>
      <c r="BC1062">
        <v>1</v>
      </c>
      <c r="BE1062">
        <v>0</v>
      </c>
      <c r="BF1062">
        <v>0</v>
      </c>
      <c r="BG1062">
        <v>0</v>
      </c>
      <c r="BH1062">
        <v>1550</v>
      </c>
      <c r="BI1062">
        <v>1</v>
      </c>
      <c r="BJ1062">
        <v>1</v>
      </c>
      <c r="BK1062">
        <v>1</v>
      </c>
      <c r="BL1062">
        <v>0</v>
      </c>
      <c r="BO1062">
        <v>0</v>
      </c>
      <c r="BP1062">
        <v>0</v>
      </c>
      <c r="BW1062" t="str">
        <f>"14:47:17.758"</f>
        <v>14:47:17.758</v>
      </c>
      <c r="CJ1062">
        <v>3</v>
      </c>
      <c r="CK1062">
        <v>2</v>
      </c>
      <c r="CL1062">
        <v>0</v>
      </c>
      <c r="CM1062">
        <v>2</v>
      </c>
      <c r="CN1062">
        <v>0</v>
      </c>
      <c r="CO1062">
        <v>6</v>
      </c>
      <c r="CP1062" t="s">
        <v>119</v>
      </c>
      <c r="CQ1062">
        <v>232</v>
      </c>
      <c r="CR1062">
        <v>1</v>
      </c>
      <c r="CW1062">
        <v>15254226</v>
      </c>
      <c r="CY1062">
        <v>1</v>
      </c>
      <c r="CZ1062">
        <v>0</v>
      </c>
      <c r="DA1062">
        <v>1</v>
      </c>
      <c r="DB1062">
        <v>0</v>
      </c>
      <c r="DC1062">
        <v>0</v>
      </c>
      <c r="DD1062">
        <v>1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"12/16/2021 14:47:18.007"</f>
        <v>12/16/2021 14:47:18.007</v>
      </c>
      <c r="C1063" t="str">
        <f t="shared" si="49"/>
        <v>FFDFD3C0</v>
      </c>
      <c r="D1063" t="s">
        <v>133</v>
      </c>
      <c r="E1063">
        <v>44</v>
      </c>
      <c r="H1063">
        <v>131</v>
      </c>
      <c r="I1063" t="s">
        <v>134</v>
      </c>
      <c r="J1063" t="s">
        <v>135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"14:47:17.758"</f>
        <v>14:47:17.758</v>
      </c>
      <c r="T1063" t="str">
        <f>"14:47:17.258"</f>
        <v>14:47:17.258</v>
      </c>
      <c r="U1063" t="str">
        <f t="shared" si="48"/>
        <v>A0F928</v>
      </c>
      <c r="V1063">
        <v>0</v>
      </c>
      <c r="W1063">
        <v>0</v>
      </c>
      <c r="X1063">
        <v>2</v>
      </c>
      <c r="Z1063">
        <v>0</v>
      </c>
      <c r="AA1063">
        <v>9</v>
      </c>
      <c r="AB1063">
        <v>3</v>
      </c>
      <c r="AC1063">
        <v>0</v>
      </c>
      <c r="AD1063">
        <v>10</v>
      </c>
      <c r="AE1063">
        <v>0</v>
      </c>
      <c r="AF1063">
        <v>3</v>
      </c>
      <c r="AG1063">
        <v>2</v>
      </c>
      <c r="AH1063">
        <v>1</v>
      </c>
      <c r="AI1063" t="s">
        <v>623</v>
      </c>
      <c r="AJ1063">
        <v>35.837896000000001</v>
      </c>
      <c r="AK1063" t="s">
        <v>554</v>
      </c>
      <c r="AL1063">
        <v>-83.949107999999995</v>
      </c>
      <c r="AM1063">
        <v>25</v>
      </c>
      <c r="AN1063">
        <v>1300</v>
      </c>
      <c r="AO1063" t="s">
        <v>118</v>
      </c>
      <c r="AP1063">
        <v>-68</v>
      </c>
      <c r="AQ1063">
        <v>64</v>
      </c>
      <c r="AR1063">
        <v>-320</v>
      </c>
      <c r="AZ1063">
        <v>300</v>
      </c>
      <c r="BA1063">
        <v>1</v>
      </c>
      <c r="BB1063" t="str">
        <f t="shared" si="50"/>
        <v xml:space="preserve">N162AM  </v>
      </c>
      <c r="BC1063">
        <v>1</v>
      </c>
      <c r="BE1063">
        <v>0</v>
      </c>
      <c r="BF1063">
        <v>0</v>
      </c>
      <c r="BG1063">
        <v>0</v>
      </c>
      <c r="BH1063">
        <v>1550</v>
      </c>
      <c r="BI1063">
        <v>1</v>
      </c>
      <c r="BJ1063">
        <v>1</v>
      </c>
      <c r="BK1063">
        <v>1</v>
      </c>
      <c r="BL1063">
        <v>0</v>
      </c>
      <c r="BO1063">
        <v>0</v>
      </c>
      <c r="BP1063">
        <v>0</v>
      </c>
      <c r="BW1063" t="str">
        <f>"14:47:17.758"</f>
        <v>14:47:17.758</v>
      </c>
      <c r="CJ1063">
        <v>3</v>
      </c>
      <c r="CK1063">
        <v>2</v>
      </c>
      <c r="CL1063">
        <v>0</v>
      </c>
      <c r="CM1063">
        <v>2</v>
      </c>
      <c r="CN1063">
        <v>0</v>
      </c>
      <c r="CO1063">
        <v>6</v>
      </c>
      <c r="CP1063" t="s">
        <v>119</v>
      </c>
      <c r="CQ1063">
        <v>232</v>
      </c>
      <c r="CR1063">
        <v>1</v>
      </c>
      <c r="CW1063">
        <v>15254226</v>
      </c>
      <c r="CY1063">
        <v>1</v>
      </c>
      <c r="CZ1063">
        <v>0</v>
      </c>
      <c r="DA1063">
        <v>1</v>
      </c>
      <c r="DB1063">
        <v>0</v>
      </c>
      <c r="DC1063">
        <v>0</v>
      </c>
      <c r="DD1063">
        <v>1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"12/16/2021 14:47:18.023"</f>
        <v>12/16/2021 14:47:18.023</v>
      </c>
      <c r="C1064" t="str">
        <f t="shared" si="49"/>
        <v>FFDFD3C0</v>
      </c>
      <c r="D1064" t="s">
        <v>124</v>
      </c>
      <c r="E1064">
        <v>10</v>
      </c>
      <c r="F1064">
        <v>1010</v>
      </c>
      <c r="G1064" t="s">
        <v>130</v>
      </c>
      <c r="J1064" t="s">
        <v>125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"14:47:17.758"</f>
        <v>14:47:17.758</v>
      </c>
      <c r="T1064" t="str">
        <f>"14:47:17.258"</f>
        <v>14:47:17.258</v>
      </c>
      <c r="U1064" t="str">
        <f t="shared" si="48"/>
        <v>A0F928</v>
      </c>
      <c r="V1064">
        <v>0</v>
      </c>
      <c r="W1064">
        <v>0</v>
      </c>
      <c r="X1064">
        <v>2</v>
      </c>
      <c r="Z1064">
        <v>0</v>
      </c>
      <c r="AA1064">
        <v>9</v>
      </c>
      <c r="AB1064">
        <v>3</v>
      </c>
      <c r="AC1064">
        <v>0</v>
      </c>
      <c r="AD1064">
        <v>10</v>
      </c>
      <c r="AE1064">
        <v>0</v>
      </c>
      <c r="AF1064">
        <v>0</v>
      </c>
      <c r="AG1064">
        <v>2</v>
      </c>
      <c r="AH1064">
        <v>1</v>
      </c>
      <c r="AI1064" t="s">
        <v>623</v>
      </c>
      <c r="AJ1064">
        <v>35.837896000000001</v>
      </c>
      <c r="AK1064" t="s">
        <v>554</v>
      </c>
      <c r="AL1064">
        <v>-83.949107999999995</v>
      </c>
      <c r="AM1064">
        <v>25</v>
      </c>
      <c r="AN1064">
        <v>1300</v>
      </c>
      <c r="AO1064" t="s">
        <v>118</v>
      </c>
      <c r="AP1064">
        <v>-68</v>
      </c>
      <c r="AQ1064">
        <v>64</v>
      </c>
      <c r="AR1064">
        <v>-320</v>
      </c>
      <c r="AZ1064">
        <v>300</v>
      </c>
      <c r="BA1064">
        <v>1</v>
      </c>
      <c r="BB1064" t="str">
        <f t="shared" si="50"/>
        <v xml:space="preserve">N162AM  </v>
      </c>
      <c r="BC1064">
        <v>1</v>
      </c>
      <c r="BE1064">
        <v>0</v>
      </c>
      <c r="BF1064">
        <v>0</v>
      </c>
      <c r="BG1064">
        <v>0</v>
      </c>
      <c r="BH1064">
        <v>1550</v>
      </c>
      <c r="BI1064">
        <v>1</v>
      </c>
      <c r="BJ1064">
        <v>1</v>
      </c>
      <c r="BK1064">
        <v>1</v>
      </c>
      <c r="BL1064">
        <v>0</v>
      </c>
      <c r="BO1064">
        <v>0</v>
      </c>
      <c r="BP1064">
        <v>0</v>
      </c>
      <c r="BW1064" t="str">
        <f>"14:47:17.758"</f>
        <v>14:47:17.758</v>
      </c>
      <c r="CJ1064">
        <v>2</v>
      </c>
      <c r="CK1064">
        <v>2</v>
      </c>
      <c r="CL1064">
        <v>0</v>
      </c>
      <c r="CM1064">
        <v>2</v>
      </c>
      <c r="CN1064">
        <v>0</v>
      </c>
      <c r="CO1064">
        <v>6</v>
      </c>
      <c r="CP1064" t="s">
        <v>119</v>
      </c>
      <c r="CQ1064">
        <v>232</v>
      </c>
      <c r="CR1064">
        <v>1</v>
      </c>
      <c r="CW1064">
        <v>15254226</v>
      </c>
      <c r="CY1064">
        <v>1</v>
      </c>
      <c r="CZ1064">
        <v>0</v>
      </c>
      <c r="DA1064">
        <v>1</v>
      </c>
      <c r="DB1064">
        <v>0</v>
      </c>
      <c r="DC1064">
        <v>0</v>
      </c>
      <c r="DD1064">
        <v>1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"12/16/2021 14:47:19.383"</f>
        <v>12/16/2021 14:47:19.383</v>
      </c>
      <c r="C1065" t="str">
        <f t="shared" si="49"/>
        <v>FFDFD3C0</v>
      </c>
      <c r="D1065" t="s">
        <v>133</v>
      </c>
      <c r="E1065">
        <v>44</v>
      </c>
      <c r="H1065">
        <v>131</v>
      </c>
      <c r="I1065" t="s">
        <v>134</v>
      </c>
      <c r="J1065" t="s">
        <v>135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"14:47:19.219"</f>
        <v>14:47:19.219</v>
      </c>
      <c r="T1065" t="str">
        <f>"14:47:18.719"</f>
        <v>14:47:18.719</v>
      </c>
      <c r="U1065" t="str">
        <f t="shared" si="48"/>
        <v>A0F928</v>
      </c>
      <c r="V1065">
        <v>0</v>
      </c>
      <c r="W1065">
        <v>0</v>
      </c>
      <c r="X1065">
        <v>2</v>
      </c>
      <c r="Z1065">
        <v>0</v>
      </c>
      <c r="AA1065">
        <v>9</v>
      </c>
      <c r="AB1065">
        <v>3</v>
      </c>
      <c r="AC1065">
        <v>0</v>
      </c>
      <c r="AD1065">
        <v>10</v>
      </c>
      <c r="AE1065">
        <v>0</v>
      </c>
      <c r="AF1065">
        <v>3</v>
      </c>
      <c r="AG1065">
        <v>2</v>
      </c>
      <c r="AH1065">
        <v>1</v>
      </c>
      <c r="AI1065" t="s">
        <v>624</v>
      </c>
      <c r="AJ1065">
        <v>35.838324999999998</v>
      </c>
      <c r="AK1065" t="s">
        <v>625</v>
      </c>
      <c r="AL1065">
        <v>-83.949686999999997</v>
      </c>
      <c r="AM1065">
        <v>25</v>
      </c>
      <c r="AN1065">
        <v>1275</v>
      </c>
      <c r="AO1065" t="s">
        <v>118</v>
      </c>
      <c r="AP1065">
        <v>-69</v>
      </c>
      <c r="AQ1065">
        <v>61</v>
      </c>
      <c r="AR1065">
        <v>-256</v>
      </c>
      <c r="AZ1065">
        <v>300</v>
      </c>
      <c r="BA1065">
        <v>1</v>
      </c>
      <c r="BB1065" t="str">
        <f t="shared" si="50"/>
        <v xml:space="preserve">N162AM  </v>
      </c>
      <c r="BC1065">
        <v>1</v>
      </c>
      <c r="BE1065">
        <v>0</v>
      </c>
      <c r="BF1065">
        <v>0</v>
      </c>
      <c r="BG1065">
        <v>0</v>
      </c>
      <c r="BH1065">
        <v>1525</v>
      </c>
      <c r="BI1065">
        <v>1</v>
      </c>
      <c r="BJ1065">
        <v>1</v>
      </c>
      <c r="BK1065">
        <v>1</v>
      </c>
      <c r="BL1065">
        <v>0</v>
      </c>
      <c r="BO1065">
        <v>0</v>
      </c>
      <c r="BP1065">
        <v>0</v>
      </c>
      <c r="BW1065" t="str">
        <f>"14:47:19.225"</f>
        <v>14:47:19.225</v>
      </c>
      <c r="CJ1065">
        <v>3</v>
      </c>
      <c r="CK1065">
        <v>2</v>
      </c>
      <c r="CL1065">
        <v>0</v>
      </c>
      <c r="CM1065">
        <v>2</v>
      </c>
      <c r="CN1065">
        <v>0</v>
      </c>
      <c r="CO1065">
        <v>6</v>
      </c>
      <c r="CP1065" t="s">
        <v>119</v>
      </c>
      <c r="CQ1065">
        <v>232</v>
      </c>
      <c r="CR1065">
        <v>1</v>
      </c>
      <c r="CW1065">
        <v>15256320</v>
      </c>
      <c r="CY1065">
        <v>1</v>
      </c>
      <c r="CZ1065">
        <v>0</v>
      </c>
      <c r="DA1065">
        <v>0</v>
      </c>
      <c r="DB1065">
        <v>0</v>
      </c>
      <c r="DC1065">
        <v>0</v>
      </c>
      <c r="DD1065">
        <v>1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"12/16/2021 14:47:19.383"</f>
        <v>12/16/2021 14:47:19.383</v>
      </c>
      <c r="C1066" t="str">
        <f t="shared" si="49"/>
        <v>FFDFD3C0</v>
      </c>
      <c r="D1066" t="s">
        <v>113</v>
      </c>
      <c r="E1066">
        <v>8</v>
      </c>
      <c r="H1066">
        <v>176</v>
      </c>
      <c r="I1066" t="s">
        <v>114</v>
      </c>
      <c r="J1066" t="s">
        <v>115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"14:47:19.219"</f>
        <v>14:47:19.219</v>
      </c>
      <c r="T1066" t="str">
        <f>"14:47:18.719"</f>
        <v>14:47:18.719</v>
      </c>
      <c r="U1066" t="str">
        <f t="shared" si="48"/>
        <v>A0F928</v>
      </c>
      <c r="V1066">
        <v>0</v>
      </c>
      <c r="W1066">
        <v>0</v>
      </c>
      <c r="X1066">
        <v>2</v>
      </c>
      <c r="Z1066">
        <v>0</v>
      </c>
      <c r="AA1066">
        <v>9</v>
      </c>
      <c r="AB1066">
        <v>3</v>
      </c>
      <c r="AC1066">
        <v>0</v>
      </c>
      <c r="AD1066">
        <v>10</v>
      </c>
      <c r="AE1066">
        <v>0</v>
      </c>
      <c r="AF1066">
        <v>3</v>
      </c>
      <c r="AG1066">
        <v>2</v>
      </c>
      <c r="AH1066">
        <v>1</v>
      </c>
      <c r="AI1066" t="s">
        <v>624</v>
      </c>
      <c r="AJ1066">
        <v>35.838324999999998</v>
      </c>
      <c r="AK1066" t="s">
        <v>625</v>
      </c>
      <c r="AL1066">
        <v>-83.949686999999997</v>
      </c>
      <c r="AM1066">
        <v>25</v>
      </c>
      <c r="AN1066">
        <v>1275</v>
      </c>
      <c r="AO1066" t="s">
        <v>118</v>
      </c>
      <c r="AP1066">
        <v>-69</v>
      </c>
      <c r="AQ1066">
        <v>61</v>
      </c>
      <c r="AR1066">
        <v>-256</v>
      </c>
      <c r="AZ1066">
        <v>300</v>
      </c>
      <c r="BA1066">
        <v>1</v>
      </c>
      <c r="BB1066" t="str">
        <f t="shared" si="50"/>
        <v xml:space="preserve">N162AM  </v>
      </c>
      <c r="BC1066">
        <v>1</v>
      </c>
      <c r="BE1066">
        <v>0</v>
      </c>
      <c r="BF1066">
        <v>0</v>
      </c>
      <c r="BG1066">
        <v>0</v>
      </c>
      <c r="BH1066">
        <v>1525</v>
      </c>
      <c r="BI1066">
        <v>1</v>
      </c>
      <c r="BJ1066">
        <v>1</v>
      </c>
      <c r="BK1066">
        <v>1</v>
      </c>
      <c r="BL1066">
        <v>0</v>
      </c>
      <c r="BO1066">
        <v>0</v>
      </c>
      <c r="BP1066">
        <v>0</v>
      </c>
      <c r="BW1066" t="str">
        <f>"14:47:19.225"</f>
        <v>14:47:19.225</v>
      </c>
      <c r="CJ1066">
        <v>3</v>
      </c>
      <c r="CK1066">
        <v>2</v>
      </c>
      <c r="CL1066">
        <v>0</v>
      </c>
      <c r="CM1066">
        <v>2</v>
      </c>
      <c r="CN1066">
        <v>0</v>
      </c>
      <c r="CO1066">
        <v>6</v>
      </c>
      <c r="CP1066" t="s">
        <v>119</v>
      </c>
      <c r="CQ1066">
        <v>232</v>
      </c>
      <c r="CR1066">
        <v>1</v>
      </c>
      <c r="CW1066">
        <v>15256320</v>
      </c>
      <c r="CY1066">
        <v>1</v>
      </c>
      <c r="CZ1066">
        <v>0</v>
      </c>
      <c r="DA1066">
        <v>1</v>
      </c>
      <c r="DB1066">
        <v>0</v>
      </c>
      <c r="DC1066">
        <v>0</v>
      </c>
      <c r="DD1066">
        <v>1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"12/16/2021 14:47:19.414"</f>
        <v>12/16/2021 14:47:19.414</v>
      </c>
      <c r="C1067" t="str">
        <f t="shared" si="49"/>
        <v>FFDFD3C0</v>
      </c>
      <c r="D1067" t="s">
        <v>124</v>
      </c>
      <c r="E1067">
        <v>10</v>
      </c>
      <c r="F1067">
        <v>1010</v>
      </c>
      <c r="G1067" t="s">
        <v>130</v>
      </c>
      <c r="J1067" t="s">
        <v>125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"14:47:19.219"</f>
        <v>14:47:19.219</v>
      </c>
      <c r="T1067" t="str">
        <f>"14:47:18.719"</f>
        <v>14:47:18.719</v>
      </c>
      <c r="U1067" t="str">
        <f t="shared" si="48"/>
        <v>A0F928</v>
      </c>
      <c r="V1067">
        <v>0</v>
      </c>
      <c r="W1067">
        <v>0</v>
      </c>
      <c r="X1067">
        <v>2</v>
      </c>
      <c r="Z1067">
        <v>0</v>
      </c>
      <c r="AA1067">
        <v>9</v>
      </c>
      <c r="AB1067">
        <v>3</v>
      </c>
      <c r="AC1067">
        <v>0</v>
      </c>
      <c r="AD1067">
        <v>10</v>
      </c>
      <c r="AE1067">
        <v>0</v>
      </c>
      <c r="AF1067">
        <v>0</v>
      </c>
      <c r="AG1067">
        <v>2</v>
      </c>
      <c r="AH1067">
        <v>1</v>
      </c>
      <c r="AI1067" t="s">
        <v>624</v>
      </c>
      <c r="AJ1067">
        <v>35.838324999999998</v>
      </c>
      <c r="AK1067" t="s">
        <v>625</v>
      </c>
      <c r="AL1067">
        <v>-83.949686999999997</v>
      </c>
      <c r="AM1067">
        <v>25</v>
      </c>
      <c r="AN1067">
        <v>1275</v>
      </c>
      <c r="AO1067" t="s">
        <v>118</v>
      </c>
      <c r="AP1067">
        <v>-69</v>
      </c>
      <c r="AQ1067">
        <v>61</v>
      </c>
      <c r="AR1067">
        <v>-256</v>
      </c>
      <c r="AZ1067">
        <v>300</v>
      </c>
      <c r="BA1067">
        <v>1</v>
      </c>
      <c r="BB1067" t="str">
        <f t="shared" si="50"/>
        <v xml:space="preserve">N162AM  </v>
      </c>
      <c r="BC1067">
        <v>1</v>
      </c>
      <c r="BE1067">
        <v>0</v>
      </c>
      <c r="BF1067">
        <v>0</v>
      </c>
      <c r="BG1067">
        <v>0</v>
      </c>
      <c r="BH1067">
        <v>1525</v>
      </c>
      <c r="BI1067">
        <v>1</v>
      </c>
      <c r="BJ1067">
        <v>1</v>
      </c>
      <c r="BK1067">
        <v>1</v>
      </c>
      <c r="BL1067">
        <v>0</v>
      </c>
      <c r="BO1067">
        <v>0</v>
      </c>
      <c r="BP1067">
        <v>0</v>
      </c>
      <c r="BW1067" t="str">
        <f>"14:47:19.225"</f>
        <v>14:47:19.225</v>
      </c>
      <c r="CJ1067">
        <v>2</v>
      </c>
      <c r="CK1067">
        <v>2</v>
      </c>
      <c r="CL1067">
        <v>0</v>
      </c>
      <c r="CM1067">
        <v>2</v>
      </c>
      <c r="CN1067">
        <v>0</v>
      </c>
      <c r="CO1067">
        <v>6</v>
      </c>
      <c r="CP1067" t="s">
        <v>119</v>
      </c>
      <c r="CQ1067">
        <v>232</v>
      </c>
      <c r="CR1067">
        <v>1</v>
      </c>
      <c r="CW1067">
        <v>15256320</v>
      </c>
      <c r="CY1067">
        <v>1</v>
      </c>
      <c r="CZ1067">
        <v>0</v>
      </c>
      <c r="DA1067">
        <v>1</v>
      </c>
      <c r="DB1067">
        <v>0</v>
      </c>
      <c r="DC1067">
        <v>0</v>
      </c>
      <c r="DD1067">
        <v>1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"12/16/2021 14:47:19.430"</f>
        <v>12/16/2021 14:47:19.430</v>
      </c>
      <c r="C1068" t="str">
        <f t="shared" si="49"/>
        <v>FFDFD3C0</v>
      </c>
      <c r="D1068" t="s">
        <v>124</v>
      </c>
      <c r="E1068">
        <v>5</v>
      </c>
      <c r="F1068">
        <v>1005</v>
      </c>
      <c r="G1068" t="s">
        <v>114</v>
      </c>
      <c r="J1068" t="s">
        <v>125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"14:47:19.219"</f>
        <v>14:47:19.219</v>
      </c>
      <c r="T1068" t="str">
        <f>"14:47:18.719"</f>
        <v>14:47:18.719</v>
      </c>
      <c r="U1068" t="str">
        <f t="shared" si="48"/>
        <v>A0F928</v>
      </c>
      <c r="V1068">
        <v>0</v>
      </c>
      <c r="W1068">
        <v>0</v>
      </c>
      <c r="X1068">
        <v>2</v>
      </c>
      <c r="Z1068">
        <v>0</v>
      </c>
      <c r="AA1068">
        <v>9</v>
      </c>
      <c r="AB1068">
        <v>3</v>
      </c>
      <c r="AC1068">
        <v>0</v>
      </c>
      <c r="AD1068">
        <v>10</v>
      </c>
      <c r="AE1068">
        <v>0</v>
      </c>
      <c r="AF1068">
        <v>3</v>
      </c>
      <c r="AG1068">
        <v>2</v>
      </c>
      <c r="AH1068">
        <v>1</v>
      </c>
      <c r="AI1068" t="s">
        <v>624</v>
      </c>
      <c r="AJ1068">
        <v>35.838324999999998</v>
      </c>
      <c r="AK1068" t="s">
        <v>625</v>
      </c>
      <c r="AL1068">
        <v>-83.949686999999997</v>
      </c>
      <c r="AM1068">
        <v>25</v>
      </c>
      <c r="AN1068">
        <v>1275</v>
      </c>
      <c r="AO1068" t="s">
        <v>118</v>
      </c>
      <c r="AP1068">
        <v>-69</v>
      </c>
      <c r="AQ1068">
        <v>61</v>
      </c>
      <c r="AR1068">
        <v>-256</v>
      </c>
      <c r="AZ1068">
        <v>300</v>
      </c>
      <c r="BA1068">
        <v>1</v>
      </c>
      <c r="BB1068" t="str">
        <f t="shared" si="50"/>
        <v xml:space="preserve">N162AM  </v>
      </c>
      <c r="BC1068">
        <v>1</v>
      </c>
      <c r="BE1068">
        <v>0</v>
      </c>
      <c r="BF1068">
        <v>0</v>
      </c>
      <c r="BG1068">
        <v>0</v>
      </c>
      <c r="BH1068">
        <v>1525</v>
      </c>
      <c r="BI1068">
        <v>1</v>
      </c>
      <c r="BJ1068">
        <v>1</v>
      </c>
      <c r="BK1068">
        <v>1</v>
      </c>
      <c r="BL1068">
        <v>0</v>
      </c>
      <c r="BO1068">
        <v>0</v>
      </c>
      <c r="BP1068">
        <v>0</v>
      </c>
      <c r="BW1068" t="str">
        <f>"14:47:19.225"</f>
        <v>14:47:19.225</v>
      </c>
      <c r="CJ1068">
        <v>3</v>
      </c>
      <c r="CK1068">
        <v>2</v>
      </c>
      <c r="CL1068">
        <v>0</v>
      </c>
      <c r="CM1068">
        <v>2</v>
      </c>
      <c r="CN1068">
        <v>0</v>
      </c>
      <c r="CO1068">
        <v>6</v>
      </c>
      <c r="CP1068" t="s">
        <v>119</v>
      </c>
      <c r="CQ1068">
        <v>232</v>
      </c>
      <c r="CR1068">
        <v>1</v>
      </c>
      <c r="CW1068">
        <v>15256320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1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"12/16/2021 14:47:20.990"</f>
        <v>12/16/2021 14:47:20.990</v>
      </c>
      <c r="C1069" t="str">
        <f t="shared" si="49"/>
        <v>FFDFD3C0</v>
      </c>
      <c r="D1069" t="s">
        <v>124</v>
      </c>
      <c r="E1069">
        <v>10</v>
      </c>
      <c r="F1069">
        <v>1010</v>
      </c>
      <c r="G1069" t="s">
        <v>130</v>
      </c>
      <c r="J1069" t="s">
        <v>125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"14:47:20.703"</f>
        <v>14:47:20.703</v>
      </c>
      <c r="T1069" t="str">
        <f>"14:47:20.203"</f>
        <v>14:47:20.203</v>
      </c>
      <c r="U1069" t="str">
        <f t="shared" si="48"/>
        <v>A0F928</v>
      </c>
      <c r="V1069">
        <v>0</v>
      </c>
      <c r="W1069">
        <v>0</v>
      </c>
      <c r="X1069">
        <v>2</v>
      </c>
      <c r="Z1069">
        <v>0</v>
      </c>
      <c r="AA1069">
        <v>9</v>
      </c>
      <c r="AB1069">
        <v>3</v>
      </c>
      <c r="AC1069">
        <v>0</v>
      </c>
      <c r="AD1069">
        <v>10</v>
      </c>
      <c r="AE1069">
        <v>0</v>
      </c>
      <c r="AF1069">
        <v>0</v>
      </c>
      <c r="AG1069">
        <v>2</v>
      </c>
      <c r="AH1069">
        <v>1</v>
      </c>
      <c r="AI1069" t="s">
        <v>626</v>
      </c>
      <c r="AJ1069">
        <v>35.838711000000004</v>
      </c>
      <c r="AK1069" t="s">
        <v>627</v>
      </c>
      <c r="AL1069">
        <v>-83.950266999999997</v>
      </c>
      <c r="AM1069">
        <v>25</v>
      </c>
      <c r="AN1069">
        <v>1275</v>
      </c>
      <c r="AO1069" t="s">
        <v>118</v>
      </c>
      <c r="AP1069">
        <v>-69</v>
      </c>
      <c r="AQ1069">
        <v>58</v>
      </c>
      <c r="AR1069">
        <v>-192</v>
      </c>
      <c r="AZ1069">
        <v>300</v>
      </c>
      <c r="BA1069">
        <v>1</v>
      </c>
      <c r="BB1069" t="str">
        <f t="shared" si="50"/>
        <v xml:space="preserve">N162AM  </v>
      </c>
      <c r="BC1069">
        <v>1</v>
      </c>
      <c r="BE1069">
        <v>0</v>
      </c>
      <c r="BF1069">
        <v>0</v>
      </c>
      <c r="BG1069">
        <v>0</v>
      </c>
      <c r="BH1069">
        <v>1550</v>
      </c>
      <c r="BI1069">
        <v>1</v>
      </c>
      <c r="BJ1069">
        <v>1</v>
      </c>
      <c r="BK1069">
        <v>1</v>
      </c>
      <c r="BL1069">
        <v>0</v>
      </c>
      <c r="BO1069">
        <v>0</v>
      </c>
      <c r="BP1069">
        <v>0</v>
      </c>
      <c r="BW1069" t="str">
        <f>"14:47:20.706"</f>
        <v>14:47:20.706</v>
      </c>
      <c r="CJ1069">
        <v>2</v>
      </c>
      <c r="CK1069">
        <v>2</v>
      </c>
      <c r="CL1069">
        <v>0</v>
      </c>
      <c r="CM1069">
        <v>2</v>
      </c>
      <c r="CN1069">
        <v>0</v>
      </c>
      <c r="CO1069">
        <v>6</v>
      </c>
      <c r="CP1069" t="s">
        <v>119</v>
      </c>
      <c r="CQ1069">
        <v>232</v>
      </c>
      <c r="CR1069">
        <v>1</v>
      </c>
      <c r="CW1069">
        <v>15258634</v>
      </c>
      <c r="CY1069">
        <v>1</v>
      </c>
      <c r="CZ1069">
        <v>0</v>
      </c>
      <c r="DA1069">
        <v>0</v>
      </c>
      <c r="DB1069">
        <v>0</v>
      </c>
      <c r="DC1069">
        <v>0</v>
      </c>
      <c r="DD1069">
        <v>1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"12/16/2021 14:47:20.990"</f>
        <v>12/16/2021 14:47:20.990</v>
      </c>
      <c r="C1070" t="str">
        <f t="shared" si="49"/>
        <v>FFDFD3C0</v>
      </c>
      <c r="D1070" t="s">
        <v>113</v>
      </c>
      <c r="E1070">
        <v>8</v>
      </c>
      <c r="H1070">
        <v>176</v>
      </c>
      <c r="I1070" t="s">
        <v>114</v>
      </c>
      <c r="J1070" t="s">
        <v>115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"14:47:20.703"</f>
        <v>14:47:20.703</v>
      </c>
      <c r="T1070" t="str">
        <f>"14:47:20.203"</f>
        <v>14:47:20.203</v>
      </c>
      <c r="U1070" t="str">
        <f t="shared" si="48"/>
        <v>A0F928</v>
      </c>
      <c r="V1070">
        <v>0</v>
      </c>
      <c r="W1070">
        <v>0</v>
      </c>
      <c r="X1070">
        <v>2</v>
      </c>
      <c r="Z1070">
        <v>0</v>
      </c>
      <c r="AA1070">
        <v>9</v>
      </c>
      <c r="AB1070">
        <v>3</v>
      </c>
      <c r="AC1070">
        <v>0</v>
      </c>
      <c r="AD1070">
        <v>10</v>
      </c>
      <c r="AE1070">
        <v>0</v>
      </c>
      <c r="AF1070">
        <v>3</v>
      </c>
      <c r="AG1070">
        <v>2</v>
      </c>
      <c r="AH1070">
        <v>1</v>
      </c>
      <c r="AI1070" t="s">
        <v>626</v>
      </c>
      <c r="AJ1070">
        <v>35.838711000000004</v>
      </c>
      <c r="AK1070" t="s">
        <v>627</v>
      </c>
      <c r="AL1070">
        <v>-83.950266999999997</v>
      </c>
      <c r="AM1070">
        <v>25</v>
      </c>
      <c r="AN1070">
        <v>1275</v>
      </c>
      <c r="AO1070" t="s">
        <v>118</v>
      </c>
      <c r="AP1070">
        <v>-69</v>
      </c>
      <c r="AQ1070">
        <v>58</v>
      </c>
      <c r="AR1070">
        <v>-192</v>
      </c>
      <c r="AZ1070">
        <v>300</v>
      </c>
      <c r="BA1070">
        <v>1</v>
      </c>
      <c r="BB1070" t="str">
        <f t="shared" si="50"/>
        <v xml:space="preserve">N162AM  </v>
      </c>
      <c r="BC1070">
        <v>1</v>
      </c>
      <c r="BE1070">
        <v>0</v>
      </c>
      <c r="BF1070">
        <v>0</v>
      </c>
      <c r="BG1070">
        <v>0</v>
      </c>
      <c r="BH1070">
        <v>1550</v>
      </c>
      <c r="BI1070">
        <v>1</v>
      </c>
      <c r="BJ1070">
        <v>1</v>
      </c>
      <c r="BK1070">
        <v>1</v>
      </c>
      <c r="BL1070">
        <v>0</v>
      </c>
      <c r="BO1070">
        <v>0</v>
      </c>
      <c r="BP1070">
        <v>0</v>
      </c>
      <c r="BW1070" t="str">
        <f>"14:47:20.706"</f>
        <v>14:47:20.706</v>
      </c>
      <c r="CJ1070">
        <v>3</v>
      </c>
      <c r="CK1070">
        <v>2</v>
      </c>
      <c r="CL1070">
        <v>0</v>
      </c>
      <c r="CM1070">
        <v>2</v>
      </c>
      <c r="CN1070">
        <v>0</v>
      </c>
      <c r="CO1070">
        <v>6</v>
      </c>
      <c r="CP1070" t="s">
        <v>119</v>
      </c>
      <c r="CQ1070">
        <v>232</v>
      </c>
      <c r="CR1070">
        <v>1</v>
      </c>
      <c r="CW1070">
        <v>15258634</v>
      </c>
      <c r="CY1070">
        <v>1</v>
      </c>
      <c r="CZ1070">
        <v>0</v>
      </c>
      <c r="DA1070">
        <v>1</v>
      </c>
      <c r="DB1070">
        <v>0</v>
      </c>
      <c r="DC1070">
        <v>0</v>
      </c>
      <c r="DD1070">
        <v>1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"12/16/2021 14:47:21.006"</f>
        <v>12/16/2021 14:47:21.006</v>
      </c>
      <c r="C1071" t="str">
        <f t="shared" si="49"/>
        <v>FFDFD3C0</v>
      </c>
      <c r="D1071" t="s">
        <v>133</v>
      </c>
      <c r="E1071">
        <v>44</v>
      </c>
      <c r="H1071">
        <v>131</v>
      </c>
      <c r="I1071" t="s">
        <v>134</v>
      </c>
      <c r="J1071" t="s">
        <v>135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"14:47:20.703"</f>
        <v>14:47:20.703</v>
      </c>
      <c r="T1071" t="str">
        <f>"14:47:20.203"</f>
        <v>14:47:20.203</v>
      </c>
      <c r="U1071" t="str">
        <f t="shared" si="48"/>
        <v>A0F928</v>
      </c>
      <c r="V1071">
        <v>0</v>
      </c>
      <c r="W1071">
        <v>0</v>
      </c>
      <c r="X1071">
        <v>2</v>
      </c>
      <c r="Z1071">
        <v>0</v>
      </c>
      <c r="AA1071">
        <v>9</v>
      </c>
      <c r="AB1071">
        <v>3</v>
      </c>
      <c r="AC1071">
        <v>0</v>
      </c>
      <c r="AD1071">
        <v>10</v>
      </c>
      <c r="AE1071">
        <v>0</v>
      </c>
      <c r="AF1071">
        <v>3</v>
      </c>
      <c r="AG1071">
        <v>2</v>
      </c>
      <c r="AH1071">
        <v>1</v>
      </c>
      <c r="AI1071" t="s">
        <v>626</v>
      </c>
      <c r="AJ1071">
        <v>35.838711000000004</v>
      </c>
      <c r="AK1071" t="s">
        <v>627</v>
      </c>
      <c r="AL1071">
        <v>-83.950266999999997</v>
      </c>
      <c r="AM1071">
        <v>25</v>
      </c>
      <c r="AN1071">
        <v>1275</v>
      </c>
      <c r="AO1071" t="s">
        <v>118</v>
      </c>
      <c r="AP1071">
        <v>-69</v>
      </c>
      <c r="AQ1071">
        <v>58</v>
      </c>
      <c r="AR1071">
        <v>-192</v>
      </c>
      <c r="AZ1071">
        <v>300</v>
      </c>
      <c r="BA1071">
        <v>1</v>
      </c>
      <c r="BB1071" t="str">
        <f t="shared" si="50"/>
        <v xml:space="preserve">N162AM  </v>
      </c>
      <c r="BC1071">
        <v>1</v>
      </c>
      <c r="BE1071">
        <v>0</v>
      </c>
      <c r="BF1071">
        <v>0</v>
      </c>
      <c r="BG1071">
        <v>0</v>
      </c>
      <c r="BH1071">
        <v>1550</v>
      </c>
      <c r="BI1071">
        <v>1</v>
      </c>
      <c r="BJ1071">
        <v>1</v>
      </c>
      <c r="BK1071">
        <v>1</v>
      </c>
      <c r="BL1071">
        <v>0</v>
      </c>
      <c r="BO1071">
        <v>0</v>
      </c>
      <c r="BP1071">
        <v>0</v>
      </c>
      <c r="BW1071" t="str">
        <f>"14:47:20.706"</f>
        <v>14:47:20.706</v>
      </c>
      <c r="CJ1071">
        <v>3</v>
      </c>
      <c r="CK1071">
        <v>2</v>
      </c>
      <c r="CL1071">
        <v>0</v>
      </c>
      <c r="CM1071">
        <v>2</v>
      </c>
      <c r="CN1071">
        <v>0</v>
      </c>
      <c r="CO1071">
        <v>6</v>
      </c>
      <c r="CP1071" t="s">
        <v>119</v>
      </c>
      <c r="CQ1071">
        <v>232</v>
      </c>
      <c r="CR1071">
        <v>1</v>
      </c>
      <c r="CW1071">
        <v>15258634</v>
      </c>
      <c r="CY1071">
        <v>1</v>
      </c>
      <c r="CZ1071">
        <v>0</v>
      </c>
      <c r="DA1071">
        <v>1</v>
      </c>
      <c r="DB1071">
        <v>0</v>
      </c>
      <c r="DC1071">
        <v>0</v>
      </c>
      <c r="DD1071">
        <v>1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"12/16/2021 14:47:21.006"</f>
        <v>12/16/2021 14:47:21.006</v>
      </c>
      <c r="C1072" t="str">
        <f t="shared" si="49"/>
        <v>FFDFD3C0</v>
      </c>
      <c r="D1072" t="s">
        <v>124</v>
      </c>
      <c r="E1072">
        <v>5</v>
      </c>
      <c r="F1072">
        <v>1005</v>
      </c>
      <c r="G1072" t="s">
        <v>114</v>
      </c>
      <c r="J1072" t="s">
        <v>125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"14:47:20.703"</f>
        <v>14:47:20.703</v>
      </c>
      <c r="T1072" t="str">
        <f>"14:47:20.203"</f>
        <v>14:47:20.203</v>
      </c>
      <c r="U1072" t="str">
        <f t="shared" si="48"/>
        <v>A0F928</v>
      </c>
      <c r="V1072">
        <v>0</v>
      </c>
      <c r="W1072">
        <v>0</v>
      </c>
      <c r="X1072">
        <v>2</v>
      </c>
      <c r="Z1072">
        <v>0</v>
      </c>
      <c r="AA1072">
        <v>9</v>
      </c>
      <c r="AB1072">
        <v>3</v>
      </c>
      <c r="AC1072">
        <v>0</v>
      </c>
      <c r="AD1072">
        <v>10</v>
      </c>
      <c r="AE1072">
        <v>0</v>
      </c>
      <c r="AF1072">
        <v>3</v>
      </c>
      <c r="AG1072">
        <v>2</v>
      </c>
      <c r="AH1072">
        <v>1</v>
      </c>
      <c r="AI1072" t="s">
        <v>626</v>
      </c>
      <c r="AJ1072">
        <v>35.838711000000004</v>
      </c>
      <c r="AK1072" t="s">
        <v>627</v>
      </c>
      <c r="AL1072">
        <v>-83.950266999999997</v>
      </c>
      <c r="AM1072">
        <v>25</v>
      </c>
      <c r="AN1072">
        <v>1275</v>
      </c>
      <c r="AO1072" t="s">
        <v>118</v>
      </c>
      <c r="AP1072">
        <v>-69</v>
      </c>
      <c r="AQ1072">
        <v>58</v>
      </c>
      <c r="AR1072">
        <v>-192</v>
      </c>
      <c r="AZ1072">
        <v>300</v>
      </c>
      <c r="BA1072">
        <v>1</v>
      </c>
      <c r="BB1072" t="str">
        <f t="shared" si="50"/>
        <v xml:space="preserve">N162AM  </v>
      </c>
      <c r="BC1072">
        <v>1</v>
      </c>
      <c r="BE1072">
        <v>0</v>
      </c>
      <c r="BF1072">
        <v>0</v>
      </c>
      <c r="BG1072">
        <v>0</v>
      </c>
      <c r="BH1072">
        <v>1550</v>
      </c>
      <c r="BI1072">
        <v>1</v>
      </c>
      <c r="BJ1072">
        <v>1</v>
      </c>
      <c r="BK1072">
        <v>1</v>
      </c>
      <c r="BL1072">
        <v>0</v>
      </c>
      <c r="BO1072">
        <v>0</v>
      </c>
      <c r="BP1072">
        <v>0</v>
      </c>
      <c r="BW1072" t="str">
        <f>"14:47:20.706"</f>
        <v>14:47:20.706</v>
      </c>
      <c r="CJ1072">
        <v>3</v>
      </c>
      <c r="CK1072">
        <v>2</v>
      </c>
      <c r="CL1072">
        <v>0</v>
      </c>
      <c r="CM1072">
        <v>2</v>
      </c>
      <c r="CN1072">
        <v>0</v>
      </c>
      <c r="CO1072">
        <v>6</v>
      </c>
      <c r="CP1072" t="s">
        <v>119</v>
      </c>
      <c r="CQ1072">
        <v>232</v>
      </c>
      <c r="CR1072">
        <v>1</v>
      </c>
      <c r="CW1072">
        <v>15258634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1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"12/16/2021 14:47:22.506"</f>
        <v>12/16/2021 14:47:22.506</v>
      </c>
      <c r="C1073" t="str">
        <f t="shared" si="49"/>
        <v>FFDFD3C0</v>
      </c>
      <c r="D1073" t="s">
        <v>124</v>
      </c>
      <c r="E1073">
        <v>5</v>
      </c>
      <c r="F1073">
        <v>1005</v>
      </c>
      <c r="G1073" t="s">
        <v>114</v>
      </c>
      <c r="J1073" t="s">
        <v>125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"14:47:22.313"</f>
        <v>14:47:22.313</v>
      </c>
      <c r="T1073" t="str">
        <f>"14:47:21.813"</f>
        <v>14:47:21.813</v>
      </c>
      <c r="U1073" t="str">
        <f t="shared" si="48"/>
        <v>A0F928</v>
      </c>
      <c r="V1073">
        <v>0</v>
      </c>
      <c r="W1073">
        <v>0</v>
      </c>
      <c r="X1073">
        <v>2</v>
      </c>
      <c r="Z1073">
        <v>0</v>
      </c>
      <c r="AA1073">
        <v>9</v>
      </c>
      <c r="AB1073">
        <v>3</v>
      </c>
      <c r="AC1073">
        <v>0</v>
      </c>
      <c r="AD1073">
        <v>10</v>
      </c>
      <c r="AE1073">
        <v>0</v>
      </c>
      <c r="AF1073">
        <v>3</v>
      </c>
      <c r="AG1073">
        <v>2</v>
      </c>
      <c r="AH1073">
        <v>1</v>
      </c>
      <c r="AI1073" t="s">
        <v>628</v>
      </c>
      <c r="AJ1073">
        <v>35.839075999999999</v>
      </c>
      <c r="AK1073" t="s">
        <v>629</v>
      </c>
      <c r="AL1073">
        <v>-83.950911000000005</v>
      </c>
      <c r="AM1073">
        <v>25</v>
      </c>
      <c r="AN1073">
        <v>1275</v>
      </c>
      <c r="AO1073" t="s">
        <v>118</v>
      </c>
      <c r="AP1073">
        <v>-71</v>
      </c>
      <c r="AQ1073">
        <v>53</v>
      </c>
      <c r="AR1073">
        <v>-128</v>
      </c>
      <c r="AZ1073">
        <v>300</v>
      </c>
      <c r="BA1073">
        <v>1</v>
      </c>
      <c r="BB1073" t="str">
        <f t="shared" si="50"/>
        <v xml:space="preserve">N162AM  </v>
      </c>
      <c r="BC1073">
        <v>1</v>
      </c>
      <c r="BE1073">
        <v>0</v>
      </c>
      <c r="BF1073">
        <v>0</v>
      </c>
      <c r="BG1073">
        <v>0</v>
      </c>
      <c r="BH1073">
        <v>1525</v>
      </c>
      <c r="BI1073">
        <v>1</v>
      </c>
      <c r="BJ1073">
        <v>1</v>
      </c>
      <c r="BK1073">
        <v>1</v>
      </c>
      <c r="BL1073">
        <v>0</v>
      </c>
      <c r="BO1073">
        <v>0</v>
      </c>
      <c r="BP1073">
        <v>0</v>
      </c>
      <c r="BW1073" t="str">
        <f>"14:47:22.318"</f>
        <v>14:47:22.318</v>
      </c>
      <c r="CJ1073">
        <v>3</v>
      </c>
      <c r="CK1073">
        <v>2</v>
      </c>
      <c r="CL1073">
        <v>0</v>
      </c>
      <c r="CM1073">
        <v>2</v>
      </c>
      <c r="CN1073">
        <v>0</v>
      </c>
      <c r="CO1073">
        <v>3</v>
      </c>
      <c r="CP1073" t="s">
        <v>119</v>
      </c>
      <c r="CQ1073">
        <v>232</v>
      </c>
      <c r="CR1073">
        <v>1</v>
      </c>
      <c r="CW1073">
        <v>15261068</v>
      </c>
      <c r="CY1073">
        <v>1</v>
      </c>
      <c r="CZ1073">
        <v>0</v>
      </c>
      <c r="DA1073">
        <v>0</v>
      </c>
      <c r="DB1073">
        <v>0</v>
      </c>
      <c r="DC1073">
        <v>0</v>
      </c>
      <c r="DD1073">
        <v>1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"12/16/2021 14:47:22.522"</f>
        <v>12/16/2021 14:47:22.522</v>
      </c>
      <c r="C1074" t="str">
        <f t="shared" si="49"/>
        <v>FFDFD3C0</v>
      </c>
      <c r="D1074" t="s">
        <v>124</v>
      </c>
      <c r="E1074">
        <v>10</v>
      </c>
      <c r="F1074">
        <v>1010</v>
      </c>
      <c r="G1074" t="s">
        <v>130</v>
      </c>
      <c r="J1074" t="s">
        <v>125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"14:47:22.313"</f>
        <v>14:47:22.313</v>
      </c>
      <c r="T1074" t="str">
        <f>"14:47:21.813"</f>
        <v>14:47:21.813</v>
      </c>
      <c r="U1074" t="str">
        <f t="shared" si="48"/>
        <v>A0F928</v>
      </c>
      <c r="V1074">
        <v>0</v>
      </c>
      <c r="W1074">
        <v>0</v>
      </c>
      <c r="X1074">
        <v>2</v>
      </c>
      <c r="Z1074">
        <v>0</v>
      </c>
      <c r="AA1074">
        <v>9</v>
      </c>
      <c r="AB1074">
        <v>3</v>
      </c>
      <c r="AC1074">
        <v>0</v>
      </c>
      <c r="AD1074">
        <v>10</v>
      </c>
      <c r="AE1074">
        <v>0</v>
      </c>
      <c r="AF1074">
        <v>0</v>
      </c>
      <c r="AG1074">
        <v>2</v>
      </c>
      <c r="AH1074">
        <v>1</v>
      </c>
      <c r="AI1074" t="s">
        <v>628</v>
      </c>
      <c r="AJ1074">
        <v>35.839075999999999</v>
      </c>
      <c r="AK1074" t="s">
        <v>629</v>
      </c>
      <c r="AL1074">
        <v>-83.950911000000005</v>
      </c>
      <c r="AM1074">
        <v>25</v>
      </c>
      <c r="AN1074">
        <v>1275</v>
      </c>
      <c r="AO1074" t="s">
        <v>118</v>
      </c>
      <c r="AP1074">
        <v>-71</v>
      </c>
      <c r="AQ1074">
        <v>53</v>
      </c>
      <c r="AR1074">
        <v>-128</v>
      </c>
      <c r="AZ1074">
        <v>300</v>
      </c>
      <c r="BA1074">
        <v>1</v>
      </c>
      <c r="BB1074" t="str">
        <f t="shared" si="50"/>
        <v xml:space="preserve">N162AM  </v>
      </c>
      <c r="BC1074">
        <v>1</v>
      </c>
      <c r="BE1074">
        <v>0</v>
      </c>
      <c r="BF1074">
        <v>0</v>
      </c>
      <c r="BG1074">
        <v>0</v>
      </c>
      <c r="BH1074">
        <v>1525</v>
      </c>
      <c r="BI1074">
        <v>1</v>
      </c>
      <c r="BJ1074">
        <v>1</v>
      </c>
      <c r="BK1074">
        <v>1</v>
      </c>
      <c r="BL1074">
        <v>0</v>
      </c>
      <c r="BO1074">
        <v>0</v>
      </c>
      <c r="BP1074">
        <v>0</v>
      </c>
      <c r="BW1074" t="str">
        <f>"14:47:22.318"</f>
        <v>14:47:22.318</v>
      </c>
      <c r="CJ1074">
        <v>2</v>
      </c>
      <c r="CK1074">
        <v>2</v>
      </c>
      <c r="CL1074">
        <v>0</v>
      </c>
      <c r="CM1074">
        <v>2</v>
      </c>
      <c r="CN1074">
        <v>0</v>
      </c>
      <c r="CO1074">
        <v>3</v>
      </c>
      <c r="CP1074" t="s">
        <v>119</v>
      </c>
      <c r="CQ1074">
        <v>232</v>
      </c>
      <c r="CR1074">
        <v>1</v>
      </c>
      <c r="CW1074">
        <v>15261068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1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"12/16/2021 14:47:22.568"</f>
        <v>12/16/2021 14:47:22.568</v>
      </c>
      <c r="C1075" t="str">
        <f t="shared" si="49"/>
        <v>FFDFD3C0</v>
      </c>
      <c r="D1075" t="s">
        <v>113</v>
      </c>
      <c r="E1075">
        <v>8</v>
      </c>
      <c r="H1075">
        <v>176</v>
      </c>
      <c r="I1075" t="s">
        <v>114</v>
      </c>
      <c r="J1075" t="s">
        <v>115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"14:47:22.313"</f>
        <v>14:47:22.313</v>
      </c>
      <c r="T1075" t="str">
        <f>"14:47:21.813"</f>
        <v>14:47:21.813</v>
      </c>
      <c r="U1075" t="str">
        <f t="shared" si="48"/>
        <v>A0F928</v>
      </c>
      <c r="V1075">
        <v>0</v>
      </c>
      <c r="W1075">
        <v>0</v>
      </c>
      <c r="X1075">
        <v>2</v>
      </c>
      <c r="Z1075">
        <v>0</v>
      </c>
      <c r="AA1075">
        <v>9</v>
      </c>
      <c r="AB1075">
        <v>3</v>
      </c>
      <c r="AC1075">
        <v>0</v>
      </c>
      <c r="AD1075">
        <v>10</v>
      </c>
      <c r="AE1075">
        <v>0</v>
      </c>
      <c r="AF1075">
        <v>3</v>
      </c>
      <c r="AG1075">
        <v>2</v>
      </c>
      <c r="AH1075">
        <v>1</v>
      </c>
      <c r="AI1075" t="s">
        <v>628</v>
      </c>
      <c r="AJ1075">
        <v>35.839075999999999</v>
      </c>
      <c r="AK1075" t="s">
        <v>629</v>
      </c>
      <c r="AL1075">
        <v>-83.950911000000005</v>
      </c>
      <c r="AM1075">
        <v>25</v>
      </c>
      <c r="AN1075">
        <v>1275</v>
      </c>
      <c r="AO1075" t="s">
        <v>118</v>
      </c>
      <c r="AP1075">
        <v>-71</v>
      </c>
      <c r="AQ1075">
        <v>53</v>
      </c>
      <c r="AR1075">
        <v>-128</v>
      </c>
      <c r="AZ1075">
        <v>300</v>
      </c>
      <c r="BA1075">
        <v>1</v>
      </c>
      <c r="BB1075" t="str">
        <f t="shared" si="50"/>
        <v xml:space="preserve">N162AM  </v>
      </c>
      <c r="BC1075">
        <v>1</v>
      </c>
      <c r="BE1075">
        <v>0</v>
      </c>
      <c r="BF1075">
        <v>0</v>
      </c>
      <c r="BG1075">
        <v>0</v>
      </c>
      <c r="BH1075">
        <v>1525</v>
      </c>
      <c r="BI1075">
        <v>1</v>
      </c>
      <c r="BJ1075">
        <v>1</v>
      </c>
      <c r="BK1075">
        <v>1</v>
      </c>
      <c r="BL1075">
        <v>0</v>
      </c>
      <c r="BO1075">
        <v>0</v>
      </c>
      <c r="BP1075">
        <v>0</v>
      </c>
      <c r="BW1075" t="str">
        <f>"14:47:22.318"</f>
        <v>14:47:22.318</v>
      </c>
      <c r="CJ1075">
        <v>3</v>
      </c>
      <c r="CK1075">
        <v>2</v>
      </c>
      <c r="CL1075">
        <v>0</v>
      </c>
      <c r="CM1075">
        <v>2</v>
      </c>
      <c r="CN1075">
        <v>0</v>
      </c>
      <c r="CO1075">
        <v>3</v>
      </c>
      <c r="CP1075" t="s">
        <v>119</v>
      </c>
      <c r="CQ1075">
        <v>232</v>
      </c>
      <c r="CR1075">
        <v>1</v>
      </c>
      <c r="CW1075">
        <v>15261068</v>
      </c>
      <c r="CY1075">
        <v>1</v>
      </c>
      <c r="CZ1075">
        <v>0</v>
      </c>
      <c r="DA1075">
        <v>1</v>
      </c>
      <c r="DB1075">
        <v>0</v>
      </c>
      <c r="DC1075">
        <v>0</v>
      </c>
      <c r="DD1075">
        <v>1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"12/16/2021 14:47:22.568"</f>
        <v>12/16/2021 14:47:22.568</v>
      </c>
      <c r="C1076" t="str">
        <f t="shared" si="49"/>
        <v>FFDFD3C0</v>
      </c>
      <c r="D1076" t="s">
        <v>133</v>
      </c>
      <c r="E1076">
        <v>44</v>
      </c>
      <c r="H1076">
        <v>131</v>
      </c>
      <c r="I1076" t="s">
        <v>134</v>
      </c>
      <c r="J1076" t="s">
        <v>135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"14:47:22.313"</f>
        <v>14:47:22.313</v>
      </c>
      <c r="T1076" t="str">
        <f>"14:47:21.813"</f>
        <v>14:47:21.813</v>
      </c>
      <c r="U1076" t="str">
        <f t="shared" si="48"/>
        <v>A0F928</v>
      </c>
      <c r="V1076">
        <v>0</v>
      </c>
      <c r="W1076">
        <v>0</v>
      </c>
      <c r="X1076">
        <v>2</v>
      </c>
      <c r="Z1076">
        <v>0</v>
      </c>
      <c r="AA1076">
        <v>9</v>
      </c>
      <c r="AB1076">
        <v>3</v>
      </c>
      <c r="AC1076">
        <v>0</v>
      </c>
      <c r="AD1076">
        <v>10</v>
      </c>
      <c r="AE1076">
        <v>0</v>
      </c>
      <c r="AF1076">
        <v>3</v>
      </c>
      <c r="AG1076">
        <v>2</v>
      </c>
      <c r="AH1076">
        <v>1</v>
      </c>
      <c r="AI1076" t="s">
        <v>628</v>
      </c>
      <c r="AJ1076">
        <v>35.839075999999999</v>
      </c>
      <c r="AK1076" t="s">
        <v>629</v>
      </c>
      <c r="AL1076">
        <v>-83.950911000000005</v>
      </c>
      <c r="AM1076">
        <v>25</v>
      </c>
      <c r="AN1076">
        <v>1275</v>
      </c>
      <c r="AO1076" t="s">
        <v>118</v>
      </c>
      <c r="AP1076">
        <v>-71</v>
      </c>
      <c r="AQ1076">
        <v>53</v>
      </c>
      <c r="AR1076">
        <v>-128</v>
      </c>
      <c r="AZ1076">
        <v>300</v>
      </c>
      <c r="BA1076">
        <v>1</v>
      </c>
      <c r="BB1076" t="str">
        <f t="shared" si="50"/>
        <v xml:space="preserve">N162AM  </v>
      </c>
      <c r="BC1076">
        <v>1</v>
      </c>
      <c r="BE1076">
        <v>0</v>
      </c>
      <c r="BF1076">
        <v>0</v>
      </c>
      <c r="BG1076">
        <v>0</v>
      </c>
      <c r="BH1076">
        <v>1525</v>
      </c>
      <c r="BI1076">
        <v>1</v>
      </c>
      <c r="BJ1076">
        <v>1</v>
      </c>
      <c r="BK1076">
        <v>1</v>
      </c>
      <c r="BL1076">
        <v>0</v>
      </c>
      <c r="BO1076">
        <v>0</v>
      </c>
      <c r="BP1076">
        <v>0</v>
      </c>
      <c r="BW1076" t="str">
        <f>"14:47:22.318"</f>
        <v>14:47:22.318</v>
      </c>
      <c r="CJ1076">
        <v>3</v>
      </c>
      <c r="CK1076">
        <v>2</v>
      </c>
      <c r="CL1076">
        <v>0</v>
      </c>
      <c r="CM1076">
        <v>2</v>
      </c>
      <c r="CN1076">
        <v>0</v>
      </c>
      <c r="CO1076">
        <v>3</v>
      </c>
      <c r="CP1076" t="s">
        <v>119</v>
      </c>
      <c r="CQ1076">
        <v>232</v>
      </c>
      <c r="CR1076">
        <v>1</v>
      </c>
      <c r="CW1076">
        <v>15261068</v>
      </c>
      <c r="CY1076">
        <v>1</v>
      </c>
      <c r="CZ1076">
        <v>0</v>
      </c>
      <c r="DA1076">
        <v>1</v>
      </c>
      <c r="DB1076">
        <v>0</v>
      </c>
      <c r="DC1076">
        <v>0</v>
      </c>
      <c r="DD1076">
        <v>1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"12/16/2021 14:47:23.475"</f>
        <v>12/16/2021 14:47:23.475</v>
      </c>
      <c r="C1077" t="str">
        <f t="shared" si="49"/>
        <v>FFDFD3C0</v>
      </c>
      <c r="D1077" t="s">
        <v>124</v>
      </c>
      <c r="E1077">
        <v>5</v>
      </c>
      <c r="F1077">
        <v>1005</v>
      </c>
      <c r="G1077" t="s">
        <v>114</v>
      </c>
      <c r="J1077" t="s">
        <v>125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"14:47:23.289"</f>
        <v>14:47:23.289</v>
      </c>
      <c r="T1077" t="str">
        <f>"14:47:22.889"</f>
        <v>14:47:22.889</v>
      </c>
      <c r="U1077" t="str">
        <f t="shared" si="48"/>
        <v>A0F928</v>
      </c>
      <c r="V1077">
        <v>0</v>
      </c>
      <c r="W1077">
        <v>0</v>
      </c>
      <c r="X1077">
        <v>2</v>
      </c>
      <c r="Z1077">
        <v>0</v>
      </c>
      <c r="AA1077">
        <v>9</v>
      </c>
      <c r="AB1077">
        <v>3</v>
      </c>
      <c r="AC1077">
        <v>0</v>
      </c>
      <c r="AD1077">
        <v>10</v>
      </c>
      <c r="AE1077">
        <v>0</v>
      </c>
      <c r="AF1077">
        <v>3</v>
      </c>
      <c r="AG1077">
        <v>2</v>
      </c>
      <c r="AH1077">
        <v>1</v>
      </c>
      <c r="AI1077" t="s">
        <v>630</v>
      </c>
      <c r="AJ1077">
        <v>35.839312</v>
      </c>
      <c r="AK1077" t="s">
        <v>546</v>
      </c>
      <c r="AL1077">
        <v>-83.951318000000001</v>
      </c>
      <c r="AM1077">
        <v>25</v>
      </c>
      <c r="AN1077">
        <v>1250</v>
      </c>
      <c r="AO1077" t="s">
        <v>118</v>
      </c>
      <c r="AP1077">
        <v>-73</v>
      </c>
      <c r="AQ1077">
        <v>49</v>
      </c>
      <c r="AR1077">
        <v>-192</v>
      </c>
      <c r="AZ1077">
        <v>300</v>
      </c>
      <c r="BA1077">
        <v>1</v>
      </c>
      <c r="BB1077" t="str">
        <f t="shared" si="50"/>
        <v xml:space="preserve">N162AM  </v>
      </c>
      <c r="BC1077">
        <v>1</v>
      </c>
      <c r="BE1077">
        <v>0</v>
      </c>
      <c r="BF1077">
        <v>0</v>
      </c>
      <c r="BG1077">
        <v>0</v>
      </c>
      <c r="BH1077">
        <v>1525</v>
      </c>
      <c r="BI1077">
        <v>1</v>
      </c>
      <c r="BJ1077">
        <v>1</v>
      </c>
      <c r="BK1077">
        <v>1</v>
      </c>
      <c r="BL1077">
        <v>0</v>
      </c>
      <c r="BO1077">
        <v>0</v>
      </c>
      <c r="BP1077">
        <v>0</v>
      </c>
      <c r="BW1077" t="str">
        <f>"14:47:23.290"</f>
        <v>14:47:23.290</v>
      </c>
      <c r="CJ1077">
        <v>3</v>
      </c>
      <c r="CK1077">
        <v>2</v>
      </c>
      <c r="CL1077">
        <v>0</v>
      </c>
      <c r="CM1077">
        <v>2</v>
      </c>
      <c r="CN1077">
        <v>0</v>
      </c>
      <c r="CO1077">
        <v>6</v>
      </c>
      <c r="CP1077" t="s">
        <v>119</v>
      </c>
      <c r="CQ1077">
        <v>232</v>
      </c>
      <c r="CR1077">
        <v>1</v>
      </c>
      <c r="CW1077">
        <v>15262469</v>
      </c>
      <c r="CY1077">
        <v>1</v>
      </c>
      <c r="CZ1077">
        <v>0</v>
      </c>
      <c r="DA1077">
        <v>0</v>
      </c>
      <c r="DB1077">
        <v>0</v>
      </c>
      <c r="DC1077">
        <v>0</v>
      </c>
      <c r="DD1077">
        <v>1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"12/16/2021 14:47:23.475"</f>
        <v>12/16/2021 14:47:23.475</v>
      </c>
      <c r="C1078" t="str">
        <f t="shared" si="49"/>
        <v>FFDFD3C0</v>
      </c>
      <c r="D1078" t="s">
        <v>124</v>
      </c>
      <c r="E1078">
        <v>10</v>
      </c>
      <c r="F1078">
        <v>1010</v>
      </c>
      <c r="G1078" t="s">
        <v>130</v>
      </c>
      <c r="J1078" t="s">
        <v>125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"14:47:23.289"</f>
        <v>14:47:23.289</v>
      </c>
      <c r="T1078" t="str">
        <f>"14:47:22.889"</f>
        <v>14:47:22.889</v>
      </c>
      <c r="U1078" t="str">
        <f t="shared" si="48"/>
        <v>A0F928</v>
      </c>
      <c r="V1078">
        <v>0</v>
      </c>
      <c r="W1078">
        <v>0</v>
      </c>
      <c r="X1078">
        <v>2</v>
      </c>
      <c r="Z1078">
        <v>0</v>
      </c>
      <c r="AA1078">
        <v>9</v>
      </c>
      <c r="AB1078">
        <v>3</v>
      </c>
      <c r="AC1078">
        <v>0</v>
      </c>
      <c r="AD1078">
        <v>10</v>
      </c>
      <c r="AE1078">
        <v>0</v>
      </c>
      <c r="AF1078">
        <v>0</v>
      </c>
      <c r="AG1078">
        <v>2</v>
      </c>
      <c r="AH1078">
        <v>1</v>
      </c>
      <c r="AI1078" t="s">
        <v>630</v>
      </c>
      <c r="AJ1078">
        <v>35.839312</v>
      </c>
      <c r="AK1078" t="s">
        <v>546</v>
      </c>
      <c r="AL1078">
        <v>-83.951318000000001</v>
      </c>
      <c r="AM1078">
        <v>25</v>
      </c>
      <c r="AN1078">
        <v>1250</v>
      </c>
      <c r="AO1078" t="s">
        <v>118</v>
      </c>
      <c r="AP1078">
        <v>-73</v>
      </c>
      <c r="AQ1078">
        <v>49</v>
      </c>
      <c r="AR1078">
        <v>-192</v>
      </c>
      <c r="AZ1078">
        <v>300</v>
      </c>
      <c r="BA1078">
        <v>1</v>
      </c>
      <c r="BB1078" t="str">
        <f t="shared" si="50"/>
        <v xml:space="preserve">N162AM  </v>
      </c>
      <c r="BC1078">
        <v>1</v>
      </c>
      <c r="BE1078">
        <v>0</v>
      </c>
      <c r="BF1078">
        <v>0</v>
      </c>
      <c r="BG1078">
        <v>0</v>
      </c>
      <c r="BH1078">
        <v>1525</v>
      </c>
      <c r="BI1078">
        <v>1</v>
      </c>
      <c r="BJ1078">
        <v>1</v>
      </c>
      <c r="BK1078">
        <v>1</v>
      </c>
      <c r="BL1078">
        <v>0</v>
      </c>
      <c r="BO1078">
        <v>0</v>
      </c>
      <c r="BP1078">
        <v>0</v>
      </c>
      <c r="BW1078" t="str">
        <f>"14:47:23.290"</f>
        <v>14:47:23.290</v>
      </c>
      <c r="CJ1078">
        <v>2</v>
      </c>
      <c r="CK1078">
        <v>2</v>
      </c>
      <c r="CL1078">
        <v>0</v>
      </c>
      <c r="CM1078">
        <v>2</v>
      </c>
      <c r="CN1078">
        <v>0</v>
      </c>
      <c r="CO1078">
        <v>6</v>
      </c>
      <c r="CP1078" t="s">
        <v>119</v>
      </c>
      <c r="CQ1078">
        <v>232</v>
      </c>
      <c r="CR1078">
        <v>1</v>
      </c>
      <c r="CW1078">
        <v>15262469</v>
      </c>
      <c r="CY1078">
        <v>1</v>
      </c>
      <c r="CZ1078">
        <v>0</v>
      </c>
      <c r="DA1078">
        <v>1</v>
      </c>
      <c r="DB1078">
        <v>0</v>
      </c>
      <c r="DC1078">
        <v>0</v>
      </c>
      <c r="DD1078">
        <v>1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"12/16/2021 14:47:23.537"</f>
        <v>12/16/2021 14:47:23.537</v>
      </c>
      <c r="C1079" t="str">
        <f t="shared" si="49"/>
        <v>FFDFD3C0</v>
      </c>
      <c r="D1079" t="s">
        <v>133</v>
      </c>
      <c r="E1079">
        <v>44</v>
      </c>
      <c r="H1079">
        <v>131</v>
      </c>
      <c r="I1079" t="s">
        <v>134</v>
      </c>
      <c r="J1079" t="s">
        <v>135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"14:47:23.289"</f>
        <v>14:47:23.289</v>
      </c>
      <c r="T1079" t="str">
        <f>"14:47:22.889"</f>
        <v>14:47:22.889</v>
      </c>
      <c r="U1079" t="str">
        <f t="shared" si="48"/>
        <v>A0F928</v>
      </c>
      <c r="V1079">
        <v>0</v>
      </c>
      <c r="W1079">
        <v>0</v>
      </c>
      <c r="X1079">
        <v>2</v>
      </c>
      <c r="Z1079">
        <v>0</v>
      </c>
      <c r="AA1079">
        <v>9</v>
      </c>
      <c r="AB1079">
        <v>3</v>
      </c>
      <c r="AC1079">
        <v>0</v>
      </c>
      <c r="AD1079">
        <v>10</v>
      </c>
      <c r="AE1079">
        <v>0</v>
      </c>
      <c r="AF1079">
        <v>3</v>
      </c>
      <c r="AG1079">
        <v>2</v>
      </c>
      <c r="AH1079">
        <v>1</v>
      </c>
      <c r="AI1079" t="s">
        <v>630</v>
      </c>
      <c r="AJ1079">
        <v>35.839312</v>
      </c>
      <c r="AK1079" t="s">
        <v>546</v>
      </c>
      <c r="AL1079">
        <v>-83.951318000000001</v>
      </c>
      <c r="AM1079">
        <v>25</v>
      </c>
      <c r="AN1079">
        <v>1250</v>
      </c>
      <c r="AO1079" t="s">
        <v>118</v>
      </c>
      <c r="AP1079">
        <v>-73</v>
      </c>
      <c r="AQ1079">
        <v>49</v>
      </c>
      <c r="AR1079">
        <v>-192</v>
      </c>
      <c r="AZ1079">
        <v>300</v>
      </c>
      <c r="BA1079">
        <v>1</v>
      </c>
      <c r="BB1079" t="str">
        <f t="shared" si="50"/>
        <v xml:space="preserve">N162AM  </v>
      </c>
      <c r="BC1079">
        <v>1</v>
      </c>
      <c r="BE1079">
        <v>0</v>
      </c>
      <c r="BF1079">
        <v>0</v>
      </c>
      <c r="BG1079">
        <v>0</v>
      </c>
      <c r="BH1079">
        <v>1525</v>
      </c>
      <c r="BI1079">
        <v>1</v>
      </c>
      <c r="BJ1079">
        <v>1</v>
      </c>
      <c r="BK1079">
        <v>1</v>
      </c>
      <c r="BL1079">
        <v>0</v>
      </c>
      <c r="BO1079">
        <v>0</v>
      </c>
      <c r="BP1079">
        <v>0</v>
      </c>
      <c r="BW1079" t="str">
        <f>"14:47:23.290"</f>
        <v>14:47:23.290</v>
      </c>
      <c r="CJ1079">
        <v>3</v>
      </c>
      <c r="CK1079">
        <v>2</v>
      </c>
      <c r="CL1079">
        <v>0</v>
      </c>
      <c r="CM1079">
        <v>2</v>
      </c>
      <c r="CN1079">
        <v>0</v>
      </c>
      <c r="CO1079">
        <v>6</v>
      </c>
      <c r="CP1079" t="s">
        <v>119</v>
      </c>
      <c r="CQ1079">
        <v>232</v>
      </c>
      <c r="CR1079">
        <v>1</v>
      </c>
      <c r="CW1079">
        <v>15262469</v>
      </c>
      <c r="CY1079">
        <v>1</v>
      </c>
      <c r="CZ1079">
        <v>0</v>
      </c>
      <c r="DA1079">
        <v>1</v>
      </c>
      <c r="DB1079">
        <v>0</v>
      </c>
      <c r="DC1079">
        <v>0</v>
      </c>
      <c r="DD1079">
        <v>1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"12/16/2021 14:47:23.537"</f>
        <v>12/16/2021 14:47:23.537</v>
      </c>
      <c r="C1080" t="str">
        <f t="shared" si="49"/>
        <v>FFDFD3C0</v>
      </c>
      <c r="D1080" t="s">
        <v>113</v>
      </c>
      <c r="E1080">
        <v>8</v>
      </c>
      <c r="H1080">
        <v>176</v>
      </c>
      <c r="I1080" t="s">
        <v>114</v>
      </c>
      <c r="J1080" t="s">
        <v>115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"14:47:23.289"</f>
        <v>14:47:23.289</v>
      </c>
      <c r="T1080" t="str">
        <f>"14:47:22.889"</f>
        <v>14:47:22.889</v>
      </c>
      <c r="U1080" t="str">
        <f t="shared" si="48"/>
        <v>A0F928</v>
      </c>
      <c r="V1080">
        <v>0</v>
      </c>
      <c r="W1080">
        <v>0</v>
      </c>
      <c r="X1080">
        <v>2</v>
      </c>
      <c r="Z1080">
        <v>0</v>
      </c>
      <c r="AA1080">
        <v>9</v>
      </c>
      <c r="AB1080">
        <v>3</v>
      </c>
      <c r="AC1080">
        <v>0</v>
      </c>
      <c r="AD1080">
        <v>10</v>
      </c>
      <c r="AE1080">
        <v>0</v>
      </c>
      <c r="AF1080">
        <v>3</v>
      </c>
      <c r="AG1080">
        <v>2</v>
      </c>
      <c r="AH1080">
        <v>1</v>
      </c>
      <c r="AI1080" t="s">
        <v>630</v>
      </c>
      <c r="AJ1080">
        <v>35.839312</v>
      </c>
      <c r="AK1080" t="s">
        <v>546</v>
      </c>
      <c r="AL1080">
        <v>-83.951318000000001</v>
      </c>
      <c r="AM1080">
        <v>25</v>
      </c>
      <c r="AN1080">
        <v>1250</v>
      </c>
      <c r="AO1080" t="s">
        <v>118</v>
      </c>
      <c r="AP1080">
        <v>-73</v>
      </c>
      <c r="AQ1080">
        <v>49</v>
      </c>
      <c r="AR1080">
        <v>-192</v>
      </c>
      <c r="AZ1080">
        <v>300</v>
      </c>
      <c r="BA1080">
        <v>1</v>
      </c>
      <c r="BB1080" t="str">
        <f t="shared" si="50"/>
        <v xml:space="preserve">N162AM  </v>
      </c>
      <c r="BC1080">
        <v>1</v>
      </c>
      <c r="BE1080">
        <v>0</v>
      </c>
      <c r="BF1080">
        <v>0</v>
      </c>
      <c r="BG1080">
        <v>0</v>
      </c>
      <c r="BH1080">
        <v>1525</v>
      </c>
      <c r="BI1080">
        <v>1</v>
      </c>
      <c r="BJ1080">
        <v>1</v>
      </c>
      <c r="BK1080">
        <v>1</v>
      </c>
      <c r="BL1080">
        <v>0</v>
      </c>
      <c r="BO1080">
        <v>0</v>
      </c>
      <c r="BP1080">
        <v>0</v>
      </c>
      <c r="BW1080" t="str">
        <f>"14:47:23.290"</f>
        <v>14:47:23.290</v>
      </c>
      <c r="CJ1080">
        <v>3</v>
      </c>
      <c r="CK1080">
        <v>2</v>
      </c>
      <c r="CL1080">
        <v>0</v>
      </c>
      <c r="CM1080">
        <v>2</v>
      </c>
      <c r="CN1080">
        <v>0</v>
      </c>
      <c r="CO1080">
        <v>6</v>
      </c>
      <c r="CP1080" t="s">
        <v>119</v>
      </c>
      <c r="CQ1080">
        <v>232</v>
      </c>
      <c r="CR1080">
        <v>1</v>
      </c>
      <c r="CW1080">
        <v>15262469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1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"12/16/2021 14:47:24.928"</f>
        <v>12/16/2021 14:47:24.928</v>
      </c>
      <c r="C1081" t="str">
        <f t="shared" si="49"/>
        <v>FFDFD3C0</v>
      </c>
      <c r="D1081" t="s">
        <v>113</v>
      </c>
      <c r="E1081">
        <v>8</v>
      </c>
      <c r="H1081">
        <v>176</v>
      </c>
      <c r="I1081" t="s">
        <v>114</v>
      </c>
      <c r="J1081" t="s">
        <v>115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"14:47:24.719"</f>
        <v>14:47:24.719</v>
      </c>
      <c r="T1081" t="str">
        <f>"14:47:24.219"</f>
        <v>14:47:24.219</v>
      </c>
      <c r="U1081" t="str">
        <f t="shared" si="48"/>
        <v>A0F928</v>
      </c>
      <c r="V1081">
        <v>0</v>
      </c>
      <c r="W1081">
        <v>0</v>
      </c>
      <c r="X1081">
        <v>2</v>
      </c>
      <c r="Z1081">
        <v>0</v>
      </c>
      <c r="AA1081">
        <v>9</v>
      </c>
      <c r="AB1081">
        <v>3</v>
      </c>
      <c r="AC1081">
        <v>0</v>
      </c>
      <c r="AD1081">
        <v>10</v>
      </c>
      <c r="AE1081">
        <v>0</v>
      </c>
      <c r="AF1081">
        <v>3</v>
      </c>
      <c r="AG1081">
        <v>2</v>
      </c>
      <c r="AH1081">
        <v>1</v>
      </c>
      <c r="AI1081" t="s">
        <v>631</v>
      </c>
      <c r="AJ1081">
        <v>35.839590999999999</v>
      </c>
      <c r="AK1081" t="s">
        <v>544</v>
      </c>
      <c r="AL1081">
        <v>-83.951919000000004</v>
      </c>
      <c r="AM1081">
        <v>25</v>
      </c>
      <c r="AN1081">
        <v>1250</v>
      </c>
      <c r="AO1081" t="s">
        <v>118</v>
      </c>
      <c r="AP1081">
        <v>-76</v>
      </c>
      <c r="AQ1081">
        <v>42</v>
      </c>
      <c r="AR1081">
        <v>-448</v>
      </c>
      <c r="AZ1081">
        <v>300</v>
      </c>
      <c r="BA1081">
        <v>1</v>
      </c>
      <c r="BB1081" t="str">
        <f t="shared" si="50"/>
        <v xml:space="preserve">N162AM  </v>
      </c>
      <c r="BC1081">
        <v>1</v>
      </c>
      <c r="BE1081">
        <v>0</v>
      </c>
      <c r="BF1081">
        <v>0</v>
      </c>
      <c r="BG1081">
        <v>0</v>
      </c>
      <c r="BH1081">
        <v>1525</v>
      </c>
      <c r="BI1081">
        <v>1</v>
      </c>
      <c r="BJ1081">
        <v>1</v>
      </c>
      <c r="BK1081">
        <v>1</v>
      </c>
      <c r="BL1081">
        <v>0</v>
      </c>
      <c r="BO1081">
        <v>0</v>
      </c>
      <c r="BP1081">
        <v>0</v>
      </c>
      <c r="BW1081" t="str">
        <f>"14:47:24.722"</f>
        <v>14:47:24.722</v>
      </c>
      <c r="CJ1081">
        <v>3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232</v>
      </c>
      <c r="CR1081">
        <v>1</v>
      </c>
      <c r="CW1081">
        <v>15264706</v>
      </c>
      <c r="CY1081">
        <v>1</v>
      </c>
      <c r="CZ1081">
        <v>0</v>
      </c>
      <c r="DA1081">
        <v>0</v>
      </c>
      <c r="DB1081">
        <v>0</v>
      </c>
      <c r="DC1081">
        <v>0</v>
      </c>
      <c r="DD1081">
        <v>1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"12/16/2021 14:47:24.928"</f>
        <v>12/16/2021 14:47:24.928</v>
      </c>
      <c r="C1082" t="str">
        <f t="shared" si="49"/>
        <v>FFDFD3C0</v>
      </c>
      <c r="D1082" t="s">
        <v>133</v>
      </c>
      <c r="E1082">
        <v>44</v>
      </c>
      <c r="H1082">
        <v>131</v>
      </c>
      <c r="I1082" t="s">
        <v>134</v>
      </c>
      <c r="J1082" t="s">
        <v>135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"14:47:24.719"</f>
        <v>14:47:24.719</v>
      </c>
      <c r="T1082" t="str">
        <f>"14:47:24.219"</f>
        <v>14:47:24.219</v>
      </c>
      <c r="U1082" t="str">
        <f t="shared" si="48"/>
        <v>A0F928</v>
      </c>
      <c r="V1082">
        <v>0</v>
      </c>
      <c r="W1082">
        <v>0</v>
      </c>
      <c r="X1082">
        <v>2</v>
      </c>
      <c r="Z1082">
        <v>0</v>
      </c>
      <c r="AA1082">
        <v>9</v>
      </c>
      <c r="AB1082">
        <v>3</v>
      </c>
      <c r="AC1082">
        <v>0</v>
      </c>
      <c r="AD1082">
        <v>10</v>
      </c>
      <c r="AE1082">
        <v>0</v>
      </c>
      <c r="AF1082">
        <v>3</v>
      </c>
      <c r="AG1082">
        <v>2</v>
      </c>
      <c r="AH1082">
        <v>1</v>
      </c>
      <c r="AI1082" t="s">
        <v>631</v>
      </c>
      <c r="AJ1082">
        <v>35.839590999999999</v>
      </c>
      <c r="AK1082" t="s">
        <v>544</v>
      </c>
      <c r="AL1082">
        <v>-83.951919000000004</v>
      </c>
      <c r="AM1082">
        <v>25</v>
      </c>
      <c r="AN1082">
        <v>1250</v>
      </c>
      <c r="AO1082" t="s">
        <v>118</v>
      </c>
      <c r="AP1082">
        <v>-76</v>
      </c>
      <c r="AQ1082">
        <v>42</v>
      </c>
      <c r="AR1082">
        <v>-448</v>
      </c>
      <c r="AZ1082">
        <v>300</v>
      </c>
      <c r="BA1082">
        <v>1</v>
      </c>
      <c r="BB1082" t="str">
        <f t="shared" si="50"/>
        <v xml:space="preserve">N162AM  </v>
      </c>
      <c r="BC1082">
        <v>1</v>
      </c>
      <c r="BE1082">
        <v>0</v>
      </c>
      <c r="BF1082">
        <v>0</v>
      </c>
      <c r="BG1082">
        <v>0</v>
      </c>
      <c r="BH1082">
        <v>1525</v>
      </c>
      <c r="BI1082">
        <v>1</v>
      </c>
      <c r="BJ1082">
        <v>1</v>
      </c>
      <c r="BK1082">
        <v>1</v>
      </c>
      <c r="BL1082">
        <v>0</v>
      </c>
      <c r="BO1082">
        <v>0</v>
      </c>
      <c r="BP1082">
        <v>0</v>
      </c>
      <c r="BW1082" t="str">
        <f>"14:47:24.722"</f>
        <v>14:47:24.722</v>
      </c>
      <c r="CJ1082">
        <v>3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119</v>
      </c>
      <c r="CQ1082">
        <v>232</v>
      </c>
      <c r="CR1082">
        <v>1</v>
      </c>
      <c r="CW1082">
        <v>15264706</v>
      </c>
      <c r="CY1082">
        <v>1</v>
      </c>
      <c r="CZ1082">
        <v>0</v>
      </c>
      <c r="DA1082">
        <v>1</v>
      </c>
      <c r="DB1082">
        <v>0</v>
      </c>
      <c r="DC1082">
        <v>0</v>
      </c>
      <c r="DD1082">
        <v>1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"12/16/2021 14:47:24.928"</f>
        <v>12/16/2021 14:47:24.928</v>
      </c>
      <c r="C1083" t="str">
        <f t="shared" si="49"/>
        <v>FFDFD3C0</v>
      </c>
      <c r="D1083" t="s">
        <v>124</v>
      </c>
      <c r="E1083">
        <v>10</v>
      </c>
      <c r="F1083">
        <v>1010</v>
      </c>
      <c r="G1083" t="s">
        <v>130</v>
      </c>
      <c r="J1083" t="s">
        <v>125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"14:47:24.719"</f>
        <v>14:47:24.719</v>
      </c>
      <c r="T1083" t="str">
        <f>"14:47:24.219"</f>
        <v>14:47:24.219</v>
      </c>
      <c r="U1083" t="str">
        <f t="shared" si="48"/>
        <v>A0F928</v>
      </c>
      <c r="V1083">
        <v>0</v>
      </c>
      <c r="W1083">
        <v>0</v>
      </c>
      <c r="X1083">
        <v>2</v>
      </c>
      <c r="Z1083">
        <v>0</v>
      </c>
      <c r="AA1083">
        <v>9</v>
      </c>
      <c r="AB1083">
        <v>3</v>
      </c>
      <c r="AC1083">
        <v>0</v>
      </c>
      <c r="AD1083">
        <v>10</v>
      </c>
      <c r="AE1083">
        <v>0</v>
      </c>
      <c r="AF1083">
        <v>0</v>
      </c>
      <c r="AG1083">
        <v>2</v>
      </c>
      <c r="AH1083">
        <v>1</v>
      </c>
      <c r="AI1083" t="s">
        <v>631</v>
      </c>
      <c r="AJ1083">
        <v>35.839590999999999</v>
      </c>
      <c r="AK1083" t="s">
        <v>544</v>
      </c>
      <c r="AL1083">
        <v>-83.951919000000004</v>
      </c>
      <c r="AM1083">
        <v>25</v>
      </c>
      <c r="AN1083">
        <v>1250</v>
      </c>
      <c r="AO1083" t="s">
        <v>118</v>
      </c>
      <c r="AP1083">
        <v>-76</v>
      </c>
      <c r="AQ1083">
        <v>42</v>
      </c>
      <c r="AR1083">
        <v>-448</v>
      </c>
      <c r="AZ1083">
        <v>300</v>
      </c>
      <c r="BA1083">
        <v>1</v>
      </c>
      <c r="BB1083" t="str">
        <f t="shared" si="50"/>
        <v xml:space="preserve">N162AM  </v>
      </c>
      <c r="BC1083">
        <v>1</v>
      </c>
      <c r="BE1083">
        <v>0</v>
      </c>
      <c r="BF1083">
        <v>0</v>
      </c>
      <c r="BG1083">
        <v>0</v>
      </c>
      <c r="BH1083">
        <v>1525</v>
      </c>
      <c r="BI1083">
        <v>1</v>
      </c>
      <c r="BJ1083">
        <v>1</v>
      </c>
      <c r="BK1083">
        <v>1</v>
      </c>
      <c r="BL1083">
        <v>0</v>
      </c>
      <c r="BO1083">
        <v>0</v>
      </c>
      <c r="BP1083">
        <v>0</v>
      </c>
      <c r="BW1083" t="str">
        <f>"14:47:24.722"</f>
        <v>14:47:24.722</v>
      </c>
      <c r="CJ1083">
        <v>2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119</v>
      </c>
      <c r="CQ1083">
        <v>232</v>
      </c>
      <c r="CR1083">
        <v>1</v>
      </c>
      <c r="CW1083">
        <v>15264706</v>
      </c>
      <c r="CY1083">
        <v>1</v>
      </c>
      <c r="CZ1083">
        <v>0</v>
      </c>
      <c r="DA1083">
        <v>1</v>
      </c>
      <c r="DB1083">
        <v>0</v>
      </c>
      <c r="DC1083">
        <v>0</v>
      </c>
      <c r="DD1083">
        <v>1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"12/16/2021 14:47:24.943"</f>
        <v>12/16/2021 14:47:24.943</v>
      </c>
      <c r="C1084" t="str">
        <f t="shared" si="49"/>
        <v>FFDFD3C0</v>
      </c>
      <c r="D1084" t="s">
        <v>124</v>
      </c>
      <c r="E1084">
        <v>5</v>
      </c>
      <c r="F1084">
        <v>1005</v>
      </c>
      <c r="G1084" t="s">
        <v>114</v>
      </c>
      <c r="J1084" t="s">
        <v>125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"14:47:24.719"</f>
        <v>14:47:24.719</v>
      </c>
      <c r="T1084" t="str">
        <f>"14:47:24.219"</f>
        <v>14:47:24.219</v>
      </c>
      <c r="U1084" t="str">
        <f t="shared" si="48"/>
        <v>A0F928</v>
      </c>
      <c r="V1084">
        <v>0</v>
      </c>
      <c r="W1084">
        <v>0</v>
      </c>
      <c r="X1084">
        <v>2</v>
      </c>
      <c r="Z1084">
        <v>0</v>
      </c>
      <c r="AA1084">
        <v>9</v>
      </c>
      <c r="AB1084">
        <v>3</v>
      </c>
      <c r="AC1084">
        <v>0</v>
      </c>
      <c r="AD1084">
        <v>10</v>
      </c>
      <c r="AE1084">
        <v>0</v>
      </c>
      <c r="AF1084">
        <v>3</v>
      </c>
      <c r="AG1084">
        <v>2</v>
      </c>
      <c r="AH1084">
        <v>1</v>
      </c>
      <c r="AI1084" t="s">
        <v>631</v>
      </c>
      <c r="AJ1084">
        <v>35.839590999999999</v>
      </c>
      <c r="AK1084" t="s">
        <v>544</v>
      </c>
      <c r="AL1084">
        <v>-83.951919000000004</v>
      </c>
      <c r="AM1084">
        <v>25</v>
      </c>
      <c r="AN1084">
        <v>1250</v>
      </c>
      <c r="AO1084" t="s">
        <v>118</v>
      </c>
      <c r="AP1084">
        <v>-76</v>
      </c>
      <c r="AQ1084">
        <v>42</v>
      </c>
      <c r="AR1084">
        <v>-448</v>
      </c>
      <c r="AZ1084">
        <v>300</v>
      </c>
      <c r="BA1084">
        <v>1</v>
      </c>
      <c r="BB1084" t="str">
        <f t="shared" si="50"/>
        <v xml:space="preserve">N162AM  </v>
      </c>
      <c r="BC1084">
        <v>1</v>
      </c>
      <c r="BE1084">
        <v>0</v>
      </c>
      <c r="BF1084">
        <v>0</v>
      </c>
      <c r="BG1084">
        <v>0</v>
      </c>
      <c r="BH1084">
        <v>1525</v>
      </c>
      <c r="BI1084">
        <v>1</v>
      </c>
      <c r="BJ1084">
        <v>1</v>
      </c>
      <c r="BK1084">
        <v>1</v>
      </c>
      <c r="BL1084">
        <v>0</v>
      </c>
      <c r="BO1084">
        <v>0</v>
      </c>
      <c r="BP1084">
        <v>0</v>
      </c>
      <c r="BW1084" t="str">
        <f>"14:47:24.722"</f>
        <v>14:47:24.722</v>
      </c>
      <c r="CJ1084">
        <v>3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119</v>
      </c>
      <c r="CQ1084">
        <v>232</v>
      </c>
      <c r="CR1084">
        <v>1</v>
      </c>
      <c r="CW1084">
        <v>15264706</v>
      </c>
      <c r="CY1084">
        <v>1</v>
      </c>
      <c r="CZ1084">
        <v>0</v>
      </c>
      <c r="DA1084">
        <v>1</v>
      </c>
      <c r="DB1084">
        <v>0</v>
      </c>
      <c r="DC1084">
        <v>0</v>
      </c>
      <c r="DD1084">
        <v>1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"12/16/2021 14:47:26.046"</f>
        <v>12/16/2021 14:47:26.046</v>
      </c>
      <c r="C1085" t="str">
        <f t="shared" si="49"/>
        <v>FFDFD3C0</v>
      </c>
      <c r="D1085" t="s">
        <v>113</v>
      </c>
      <c r="E1085">
        <v>8</v>
      </c>
      <c r="H1085">
        <v>176</v>
      </c>
      <c r="I1085" t="s">
        <v>114</v>
      </c>
      <c r="J1085" t="s">
        <v>115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"14:47:25.789"</f>
        <v>14:47:25.789</v>
      </c>
      <c r="T1085" t="str">
        <f>"14:47:25.289"</f>
        <v>14:47:25.289</v>
      </c>
      <c r="U1085" t="str">
        <f t="shared" si="48"/>
        <v>A0F928</v>
      </c>
      <c r="V1085">
        <v>0</v>
      </c>
      <c r="W1085">
        <v>0</v>
      </c>
      <c r="X1085">
        <v>2</v>
      </c>
      <c r="Z1085">
        <v>0</v>
      </c>
      <c r="AA1085">
        <v>9</v>
      </c>
      <c r="AB1085">
        <v>3</v>
      </c>
      <c r="AC1085">
        <v>0</v>
      </c>
      <c r="AD1085">
        <v>10</v>
      </c>
      <c r="AE1085">
        <v>0</v>
      </c>
      <c r="AF1085">
        <v>3</v>
      </c>
      <c r="AG1085">
        <v>2</v>
      </c>
      <c r="AH1085">
        <v>1</v>
      </c>
      <c r="AI1085" t="s">
        <v>632</v>
      </c>
      <c r="AJ1085">
        <v>35.839740999999997</v>
      </c>
      <c r="AK1085" t="s">
        <v>633</v>
      </c>
      <c r="AL1085">
        <v>-83.952433999999997</v>
      </c>
      <c r="AM1085">
        <v>25</v>
      </c>
      <c r="AN1085">
        <v>1250</v>
      </c>
      <c r="AO1085" t="s">
        <v>118</v>
      </c>
      <c r="AP1085">
        <v>-79</v>
      </c>
      <c r="AQ1085">
        <v>34</v>
      </c>
      <c r="AR1085">
        <v>-448</v>
      </c>
      <c r="AZ1085">
        <v>300</v>
      </c>
      <c r="BA1085">
        <v>1</v>
      </c>
      <c r="BB1085" t="str">
        <f t="shared" si="50"/>
        <v xml:space="preserve">N162AM  </v>
      </c>
      <c r="BC1085">
        <v>1</v>
      </c>
      <c r="BE1085">
        <v>0</v>
      </c>
      <c r="BF1085">
        <v>0</v>
      </c>
      <c r="BG1085">
        <v>0</v>
      </c>
      <c r="BH1085">
        <v>1500</v>
      </c>
      <c r="BI1085">
        <v>1</v>
      </c>
      <c r="BJ1085">
        <v>1</v>
      </c>
      <c r="BK1085">
        <v>1</v>
      </c>
      <c r="BL1085">
        <v>0</v>
      </c>
      <c r="BO1085">
        <v>0</v>
      </c>
      <c r="BP1085">
        <v>0</v>
      </c>
      <c r="BW1085" t="str">
        <f>"14:47:25.795"</f>
        <v>14:47:25.795</v>
      </c>
      <c r="CJ1085">
        <v>3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119</v>
      </c>
      <c r="CQ1085">
        <v>232</v>
      </c>
      <c r="CR1085">
        <v>1</v>
      </c>
      <c r="CW1085">
        <v>15266401</v>
      </c>
      <c r="CY1085">
        <v>1</v>
      </c>
      <c r="CZ1085">
        <v>0</v>
      </c>
      <c r="DA1085">
        <v>0</v>
      </c>
      <c r="DB1085">
        <v>0</v>
      </c>
      <c r="DC1085">
        <v>0</v>
      </c>
      <c r="DD1085">
        <v>1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"12/16/2021 14:47:26.062"</f>
        <v>12/16/2021 14:47:26.062</v>
      </c>
      <c r="C1086" t="str">
        <f t="shared" si="49"/>
        <v>FFDFD3C0</v>
      </c>
      <c r="D1086" t="s">
        <v>133</v>
      </c>
      <c r="E1086">
        <v>44</v>
      </c>
      <c r="H1086">
        <v>131</v>
      </c>
      <c r="I1086" t="s">
        <v>134</v>
      </c>
      <c r="J1086" t="s">
        <v>135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"14:47:25.789"</f>
        <v>14:47:25.789</v>
      </c>
      <c r="T1086" t="str">
        <f>"14:47:25.289"</f>
        <v>14:47:25.289</v>
      </c>
      <c r="U1086" t="str">
        <f t="shared" si="48"/>
        <v>A0F928</v>
      </c>
      <c r="V1086">
        <v>0</v>
      </c>
      <c r="W1086">
        <v>0</v>
      </c>
      <c r="X1086">
        <v>2</v>
      </c>
      <c r="Z1086">
        <v>0</v>
      </c>
      <c r="AA1086">
        <v>9</v>
      </c>
      <c r="AB1086">
        <v>3</v>
      </c>
      <c r="AC1086">
        <v>0</v>
      </c>
      <c r="AD1086">
        <v>10</v>
      </c>
      <c r="AE1086">
        <v>0</v>
      </c>
      <c r="AF1086">
        <v>3</v>
      </c>
      <c r="AG1086">
        <v>2</v>
      </c>
      <c r="AH1086">
        <v>1</v>
      </c>
      <c r="AI1086" t="s">
        <v>632</v>
      </c>
      <c r="AJ1086">
        <v>35.839740999999997</v>
      </c>
      <c r="AK1086" t="s">
        <v>633</v>
      </c>
      <c r="AL1086">
        <v>-83.952433999999997</v>
      </c>
      <c r="AM1086">
        <v>25</v>
      </c>
      <c r="AN1086">
        <v>1250</v>
      </c>
      <c r="AO1086" t="s">
        <v>118</v>
      </c>
      <c r="AP1086">
        <v>-79</v>
      </c>
      <c r="AQ1086">
        <v>34</v>
      </c>
      <c r="AR1086">
        <v>-448</v>
      </c>
      <c r="AZ1086">
        <v>300</v>
      </c>
      <c r="BA1086">
        <v>1</v>
      </c>
      <c r="BB1086" t="str">
        <f t="shared" si="50"/>
        <v xml:space="preserve">N162AM  </v>
      </c>
      <c r="BC1086">
        <v>1</v>
      </c>
      <c r="BE1086">
        <v>0</v>
      </c>
      <c r="BF1086">
        <v>0</v>
      </c>
      <c r="BG1086">
        <v>0</v>
      </c>
      <c r="BH1086">
        <v>1500</v>
      </c>
      <c r="BI1086">
        <v>1</v>
      </c>
      <c r="BJ1086">
        <v>1</v>
      </c>
      <c r="BK1086">
        <v>1</v>
      </c>
      <c r="BL1086">
        <v>0</v>
      </c>
      <c r="BO1086">
        <v>0</v>
      </c>
      <c r="BP1086">
        <v>0</v>
      </c>
      <c r="BW1086" t="str">
        <f>"14:47:25.795"</f>
        <v>14:47:25.795</v>
      </c>
      <c r="CJ1086">
        <v>3</v>
      </c>
      <c r="CK1086">
        <v>2</v>
      </c>
      <c r="CL1086">
        <v>0</v>
      </c>
      <c r="CM1086">
        <v>2</v>
      </c>
      <c r="CN1086">
        <v>0</v>
      </c>
      <c r="CO1086">
        <v>7</v>
      </c>
      <c r="CP1086" t="s">
        <v>119</v>
      </c>
      <c r="CQ1086">
        <v>232</v>
      </c>
      <c r="CR1086">
        <v>1</v>
      </c>
      <c r="CW1086">
        <v>15266401</v>
      </c>
      <c r="CY1086">
        <v>1</v>
      </c>
      <c r="CZ1086">
        <v>0</v>
      </c>
      <c r="DA1086">
        <v>1</v>
      </c>
      <c r="DB1086">
        <v>0</v>
      </c>
      <c r="DC1086">
        <v>0</v>
      </c>
      <c r="DD1086">
        <v>1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"12/16/2021 14:47:26.062"</f>
        <v>12/16/2021 14:47:26.062</v>
      </c>
      <c r="C1087" t="str">
        <f t="shared" si="49"/>
        <v>FFDFD3C0</v>
      </c>
      <c r="D1087" t="s">
        <v>124</v>
      </c>
      <c r="E1087">
        <v>5</v>
      </c>
      <c r="F1087">
        <v>1005</v>
      </c>
      <c r="G1087" t="s">
        <v>114</v>
      </c>
      <c r="J1087" t="s">
        <v>125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"14:47:25.789"</f>
        <v>14:47:25.789</v>
      </c>
      <c r="T1087" t="str">
        <f>"14:47:25.289"</f>
        <v>14:47:25.289</v>
      </c>
      <c r="U1087" t="str">
        <f t="shared" si="48"/>
        <v>A0F928</v>
      </c>
      <c r="V1087">
        <v>0</v>
      </c>
      <c r="W1087">
        <v>0</v>
      </c>
      <c r="X1087">
        <v>2</v>
      </c>
      <c r="Z1087">
        <v>0</v>
      </c>
      <c r="AA1087">
        <v>9</v>
      </c>
      <c r="AB1087">
        <v>3</v>
      </c>
      <c r="AC1087">
        <v>0</v>
      </c>
      <c r="AD1087">
        <v>10</v>
      </c>
      <c r="AE1087">
        <v>0</v>
      </c>
      <c r="AF1087">
        <v>3</v>
      </c>
      <c r="AG1087">
        <v>2</v>
      </c>
      <c r="AH1087">
        <v>1</v>
      </c>
      <c r="AI1087" t="s">
        <v>632</v>
      </c>
      <c r="AJ1087">
        <v>35.839740999999997</v>
      </c>
      <c r="AK1087" t="s">
        <v>633</v>
      </c>
      <c r="AL1087">
        <v>-83.952433999999997</v>
      </c>
      <c r="AM1087">
        <v>25</v>
      </c>
      <c r="AN1087">
        <v>1250</v>
      </c>
      <c r="AO1087" t="s">
        <v>118</v>
      </c>
      <c r="AP1087">
        <v>-79</v>
      </c>
      <c r="AQ1087">
        <v>34</v>
      </c>
      <c r="AR1087">
        <v>-448</v>
      </c>
      <c r="AZ1087">
        <v>300</v>
      </c>
      <c r="BA1087">
        <v>1</v>
      </c>
      <c r="BB1087" t="str">
        <f t="shared" si="50"/>
        <v xml:space="preserve">N162AM  </v>
      </c>
      <c r="BC1087">
        <v>1</v>
      </c>
      <c r="BE1087">
        <v>0</v>
      </c>
      <c r="BF1087">
        <v>0</v>
      </c>
      <c r="BG1087">
        <v>0</v>
      </c>
      <c r="BH1087">
        <v>1500</v>
      </c>
      <c r="BI1087">
        <v>1</v>
      </c>
      <c r="BJ1087">
        <v>1</v>
      </c>
      <c r="BK1087">
        <v>1</v>
      </c>
      <c r="BL1087">
        <v>0</v>
      </c>
      <c r="BO1087">
        <v>0</v>
      </c>
      <c r="BP1087">
        <v>0</v>
      </c>
      <c r="BW1087" t="str">
        <f>"14:47:25.795"</f>
        <v>14:47:25.795</v>
      </c>
      <c r="CJ1087">
        <v>3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119</v>
      </c>
      <c r="CQ1087">
        <v>232</v>
      </c>
      <c r="CR1087">
        <v>1</v>
      </c>
      <c r="CW1087">
        <v>15266401</v>
      </c>
      <c r="CY1087">
        <v>1</v>
      </c>
      <c r="CZ1087">
        <v>0</v>
      </c>
      <c r="DA1087">
        <v>1</v>
      </c>
      <c r="DB1087">
        <v>0</v>
      </c>
      <c r="DC1087">
        <v>0</v>
      </c>
      <c r="DD1087">
        <v>1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"12/16/2021 14:47:26.062"</f>
        <v>12/16/2021 14:47:26.062</v>
      </c>
      <c r="C1088" t="str">
        <f t="shared" si="49"/>
        <v>FFDFD3C0</v>
      </c>
      <c r="D1088" t="s">
        <v>124</v>
      </c>
      <c r="E1088">
        <v>10</v>
      </c>
      <c r="F1088">
        <v>1010</v>
      </c>
      <c r="G1088" t="s">
        <v>130</v>
      </c>
      <c r="J1088" t="s">
        <v>125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"14:47:25.789"</f>
        <v>14:47:25.789</v>
      </c>
      <c r="T1088" t="str">
        <f>"14:47:25.289"</f>
        <v>14:47:25.289</v>
      </c>
      <c r="U1088" t="str">
        <f t="shared" si="48"/>
        <v>A0F928</v>
      </c>
      <c r="V1088">
        <v>0</v>
      </c>
      <c r="W1088">
        <v>0</v>
      </c>
      <c r="X1088">
        <v>2</v>
      </c>
      <c r="Z1088">
        <v>0</v>
      </c>
      <c r="AA1088">
        <v>9</v>
      </c>
      <c r="AB1088">
        <v>3</v>
      </c>
      <c r="AC1088">
        <v>0</v>
      </c>
      <c r="AD1088">
        <v>10</v>
      </c>
      <c r="AE1088">
        <v>0</v>
      </c>
      <c r="AF1088">
        <v>0</v>
      </c>
      <c r="AG1088">
        <v>2</v>
      </c>
      <c r="AH1088">
        <v>1</v>
      </c>
      <c r="AI1088" t="s">
        <v>632</v>
      </c>
      <c r="AJ1088">
        <v>35.839740999999997</v>
      </c>
      <c r="AK1088" t="s">
        <v>633</v>
      </c>
      <c r="AL1088">
        <v>-83.952433999999997</v>
      </c>
      <c r="AM1088">
        <v>25</v>
      </c>
      <c r="AN1088">
        <v>1250</v>
      </c>
      <c r="AO1088" t="s">
        <v>118</v>
      </c>
      <c r="AP1088">
        <v>-79</v>
      </c>
      <c r="AQ1088">
        <v>34</v>
      </c>
      <c r="AR1088">
        <v>-448</v>
      </c>
      <c r="AZ1088">
        <v>300</v>
      </c>
      <c r="BA1088">
        <v>1</v>
      </c>
      <c r="BB1088" t="str">
        <f t="shared" si="50"/>
        <v xml:space="preserve">N162AM  </v>
      </c>
      <c r="BC1088">
        <v>1</v>
      </c>
      <c r="BE1088">
        <v>0</v>
      </c>
      <c r="BF1088">
        <v>0</v>
      </c>
      <c r="BG1088">
        <v>0</v>
      </c>
      <c r="BH1088">
        <v>1500</v>
      </c>
      <c r="BI1088">
        <v>1</v>
      </c>
      <c r="BJ1088">
        <v>1</v>
      </c>
      <c r="BK1088">
        <v>1</v>
      </c>
      <c r="BL1088">
        <v>0</v>
      </c>
      <c r="BO1088">
        <v>0</v>
      </c>
      <c r="BP1088">
        <v>0</v>
      </c>
      <c r="BW1088" t="str">
        <f>"14:47:25.795"</f>
        <v>14:47:25.795</v>
      </c>
      <c r="CJ1088">
        <v>2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119</v>
      </c>
      <c r="CQ1088">
        <v>232</v>
      </c>
      <c r="CR1088">
        <v>1</v>
      </c>
      <c r="CW1088">
        <v>15266401</v>
      </c>
      <c r="CY1088">
        <v>1</v>
      </c>
      <c r="CZ1088">
        <v>0</v>
      </c>
      <c r="DA1088">
        <v>1</v>
      </c>
      <c r="DB1088">
        <v>0</v>
      </c>
      <c r="DC1088">
        <v>0</v>
      </c>
      <c r="DD1088">
        <v>1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"12/16/2021 14:47:26.968"</f>
        <v>12/16/2021 14:47:26.968</v>
      </c>
      <c r="C1089" t="str">
        <f t="shared" si="49"/>
        <v>FFDFD3C0</v>
      </c>
      <c r="D1089" t="s">
        <v>113</v>
      </c>
      <c r="E1089">
        <v>8</v>
      </c>
      <c r="H1089">
        <v>176</v>
      </c>
      <c r="I1089" t="s">
        <v>114</v>
      </c>
      <c r="J1089" t="s">
        <v>115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"14:47:26.734"</f>
        <v>14:47:26.734</v>
      </c>
      <c r="T1089" t="str">
        <f>"14:47:26.234"</f>
        <v>14:47:26.234</v>
      </c>
      <c r="U1089" t="str">
        <f t="shared" si="48"/>
        <v>A0F928</v>
      </c>
      <c r="V1089">
        <v>0</v>
      </c>
      <c r="W1089">
        <v>0</v>
      </c>
      <c r="X1089">
        <v>2</v>
      </c>
      <c r="Z1089">
        <v>0</v>
      </c>
      <c r="AA1089">
        <v>9</v>
      </c>
      <c r="AB1089">
        <v>3</v>
      </c>
      <c r="AC1089">
        <v>0</v>
      </c>
      <c r="AD1089">
        <v>10</v>
      </c>
      <c r="AE1089">
        <v>0</v>
      </c>
      <c r="AF1089">
        <v>3</v>
      </c>
      <c r="AG1089">
        <v>2</v>
      </c>
      <c r="AH1089">
        <v>1</v>
      </c>
      <c r="AI1089" t="s">
        <v>634</v>
      </c>
      <c r="AJ1089">
        <v>35.839869999999998</v>
      </c>
      <c r="AK1089" t="s">
        <v>635</v>
      </c>
      <c r="AL1089">
        <v>-83.952842000000004</v>
      </c>
      <c r="AM1089">
        <v>25</v>
      </c>
      <c r="AN1089">
        <v>1250</v>
      </c>
      <c r="AO1089" t="s">
        <v>118</v>
      </c>
      <c r="AP1089">
        <v>-81</v>
      </c>
      <c r="AQ1089">
        <v>29</v>
      </c>
      <c r="AR1089">
        <v>-512</v>
      </c>
      <c r="AZ1089">
        <v>300</v>
      </c>
      <c r="BA1089">
        <v>1</v>
      </c>
      <c r="BB1089" t="str">
        <f t="shared" si="50"/>
        <v xml:space="preserve">N162AM  </v>
      </c>
      <c r="BC1089">
        <v>1</v>
      </c>
      <c r="BE1089">
        <v>0</v>
      </c>
      <c r="BF1089">
        <v>0</v>
      </c>
      <c r="BG1089">
        <v>0</v>
      </c>
      <c r="BH1089">
        <v>1500</v>
      </c>
      <c r="BI1089">
        <v>1</v>
      </c>
      <c r="BJ1089">
        <v>1</v>
      </c>
      <c r="BK1089">
        <v>1</v>
      </c>
      <c r="BL1089">
        <v>0</v>
      </c>
      <c r="BO1089">
        <v>0</v>
      </c>
      <c r="BP1089">
        <v>0</v>
      </c>
      <c r="BW1089" t="str">
        <f>"14:47:26.742"</f>
        <v>14:47:26.742</v>
      </c>
      <c r="CJ1089">
        <v>3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232</v>
      </c>
      <c r="CR1089">
        <v>2</v>
      </c>
      <c r="CW1089">
        <v>6460835</v>
      </c>
      <c r="CY1089">
        <v>1</v>
      </c>
      <c r="CZ1089">
        <v>0</v>
      </c>
      <c r="DA1089">
        <v>0</v>
      </c>
      <c r="DB1089">
        <v>0</v>
      </c>
      <c r="DC1089">
        <v>0</v>
      </c>
      <c r="DD1089">
        <v>1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"12/16/2021 14:47:26.999"</f>
        <v>12/16/2021 14:47:26.999</v>
      </c>
      <c r="C1090" t="str">
        <f t="shared" si="49"/>
        <v>FFDFD3C0</v>
      </c>
      <c r="D1090" t="s">
        <v>133</v>
      </c>
      <c r="E1090">
        <v>44</v>
      </c>
      <c r="H1090">
        <v>131</v>
      </c>
      <c r="I1090" t="s">
        <v>134</v>
      </c>
      <c r="J1090" t="s">
        <v>135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"14:47:26.734"</f>
        <v>14:47:26.734</v>
      </c>
      <c r="T1090" t="str">
        <f>"14:47:26.234"</f>
        <v>14:47:26.234</v>
      </c>
      <c r="U1090" t="str">
        <f t="shared" ref="U1090:U1153" si="51">"A0F928"</f>
        <v>A0F928</v>
      </c>
      <c r="V1090">
        <v>0</v>
      </c>
      <c r="W1090">
        <v>0</v>
      </c>
      <c r="X1090">
        <v>2</v>
      </c>
      <c r="Z1090">
        <v>0</v>
      </c>
      <c r="AA1090">
        <v>9</v>
      </c>
      <c r="AB1090">
        <v>3</v>
      </c>
      <c r="AC1090">
        <v>0</v>
      </c>
      <c r="AD1090">
        <v>10</v>
      </c>
      <c r="AE1090">
        <v>0</v>
      </c>
      <c r="AF1090">
        <v>3</v>
      </c>
      <c r="AG1090">
        <v>2</v>
      </c>
      <c r="AH1090">
        <v>1</v>
      </c>
      <c r="AI1090" t="s">
        <v>634</v>
      </c>
      <c r="AJ1090">
        <v>35.839869999999998</v>
      </c>
      <c r="AK1090" t="s">
        <v>635</v>
      </c>
      <c r="AL1090">
        <v>-83.952842000000004</v>
      </c>
      <c r="AM1090">
        <v>25</v>
      </c>
      <c r="AN1090">
        <v>1250</v>
      </c>
      <c r="AO1090" t="s">
        <v>118</v>
      </c>
      <c r="AP1090">
        <v>-81</v>
      </c>
      <c r="AQ1090">
        <v>29</v>
      </c>
      <c r="AR1090">
        <v>-512</v>
      </c>
      <c r="AZ1090">
        <v>300</v>
      </c>
      <c r="BA1090">
        <v>1</v>
      </c>
      <c r="BB1090" t="str">
        <f t="shared" si="50"/>
        <v xml:space="preserve">N162AM  </v>
      </c>
      <c r="BC1090">
        <v>1</v>
      </c>
      <c r="BE1090">
        <v>0</v>
      </c>
      <c r="BF1090">
        <v>0</v>
      </c>
      <c r="BG1090">
        <v>0</v>
      </c>
      <c r="BH1090">
        <v>1500</v>
      </c>
      <c r="BI1090">
        <v>1</v>
      </c>
      <c r="BJ1090">
        <v>1</v>
      </c>
      <c r="BK1090">
        <v>1</v>
      </c>
      <c r="BL1090">
        <v>0</v>
      </c>
      <c r="BO1090">
        <v>0</v>
      </c>
      <c r="BP1090">
        <v>0</v>
      </c>
      <c r="BW1090" t="str">
        <f>"14:47:26.742"</f>
        <v>14:47:26.742</v>
      </c>
      <c r="CJ1090">
        <v>3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232</v>
      </c>
      <c r="CR1090">
        <v>2</v>
      </c>
      <c r="CW1090">
        <v>6460835</v>
      </c>
      <c r="CY1090">
        <v>1</v>
      </c>
      <c r="CZ1090">
        <v>0</v>
      </c>
      <c r="DA1090">
        <v>1</v>
      </c>
      <c r="DB1090">
        <v>0</v>
      </c>
      <c r="DC1090">
        <v>0</v>
      </c>
      <c r="DD1090">
        <v>1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"12/16/2021 14:47:27.015"</f>
        <v>12/16/2021 14:47:27.015</v>
      </c>
      <c r="C1091" t="str">
        <f t="shared" si="49"/>
        <v>FFDFD3C0</v>
      </c>
      <c r="D1091" t="s">
        <v>124</v>
      </c>
      <c r="E1091">
        <v>5</v>
      </c>
      <c r="F1091">
        <v>1005</v>
      </c>
      <c r="G1091" t="s">
        <v>114</v>
      </c>
      <c r="J1091" t="s">
        <v>125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"14:47:26.734"</f>
        <v>14:47:26.734</v>
      </c>
      <c r="T1091" t="str">
        <f>"14:47:26.234"</f>
        <v>14:47:26.234</v>
      </c>
      <c r="U1091" t="str">
        <f t="shared" si="51"/>
        <v>A0F928</v>
      </c>
      <c r="V1091">
        <v>0</v>
      </c>
      <c r="W1091">
        <v>0</v>
      </c>
      <c r="X1091">
        <v>2</v>
      </c>
      <c r="Z1091">
        <v>0</v>
      </c>
      <c r="AA1091">
        <v>9</v>
      </c>
      <c r="AB1091">
        <v>3</v>
      </c>
      <c r="AC1091">
        <v>0</v>
      </c>
      <c r="AD1091">
        <v>10</v>
      </c>
      <c r="AE1091">
        <v>0</v>
      </c>
      <c r="AF1091">
        <v>3</v>
      </c>
      <c r="AG1091">
        <v>2</v>
      </c>
      <c r="AH1091">
        <v>1</v>
      </c>
      <c r="AI1091" t="s">
        <v>634</v>
      </c>
      <c r="AJ1091">
        <v>35.839869999999998</v>
      </c>
      <c r="AK1091" t="s">
        <v>635</v>
      </c>
      <c r="AL1091">
        <v>-83.952842000000004</v>
      </c>
      <c r="AM1091">
        <v>25</v>
      </c>
      <c r="AN1091">
        <v>1250</v>
      </c>
      <c r="AO1091" t="s">
        <v>118</v>
      </c>
      <c r="AP1091">
        <v>-81</v>
      </c>
      <c r="AQ1091">
        <v>29</v>
      </c>
      <c r="AR1091">
        <v>-512</v>
      </c>
      <c r="AZ1091">
        <v>300</v>
      </c>
      <c r="BA1091">
        <v>1</v>
      </c>
      <c r="BB1091" t="str">
        <f t="shared" si="50"/>
        <v xml:space="preserve">N162AM  </v>
      </c>
      <c r="BC1091">
        <v>1</v>
      </c>
      <c r="BE1091">
        <v>0</v>
      </c>
      <c r="BF1091">
        <v>0</v>
      </c>
      <c r="BG1091">
        <v>0</v>
      </c>
      <c r="BH1091">
        <v>1500</v>
      </c>
      <c r="BI1091">
        <v>1</v>
      </c>
      <c r="BJ1091">
        <v>1</v>
      </c>
      <c r="BK1091">
        <v>1</v>
      </c>
      <c r="BL1091">
        <v>0</v>
      </c>
      <c r="BO1091">
        <v>0</v>
      </c>
      <c r="BP1091">
        <v>0</v>
      </c>
      <c r="BW1091" t="str">
        <f>"14:47:26.742"</f>
        <v>14:47:26.742</v>
      </c>
      <c r="CJ1091">
        <v>3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232</v>
      </c>
      <c r="CR1091">
        <v>2</v>
      </c>
      <c r="CW1091">
        <v>6460835</v>
      </c>
      <c r="CY1091">
        <v>1</v>
      </c>
      <c r="CZ1091">
        <v>0</v>
      </c>
      <c r="DA1091">
        <v>1</v>
      </c>
      <c r="DB1091">
        <v>0</v>
      </c>
      <c r="DC1091">
        <v>0</v>
      </c>
      <c r="DD1091">
        <v>1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"12/16/2021 14:47:27.015"</f>
        <v>12/16/2021 14:47:27.015</v>
      </c>
      <c r="C1092" t="str">
        <f t="shared" si="49"/>
        <v>FFDFD3C0</v>
      </c>
      <c r="D1092" t="s">
        <v>124</v>
      </c>
      <c r="E1092">
        <v>10</v>
      </c>
      <c r="F1092">
        <v>1010</v>
      </c>
      <c r="G1092" t="s">
        <v>130</v>
      </c>
      <c r="J1092" t="s">
        <v>125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"14:47:26.734"</f>
        <v>14:47:26.734</v>
      </c>
      <c r="T1092" t="str">
        <f>"14:47:26.234"</f>
        <v>14:47:26.234</v>
      </c>
      <c r="U1092" t="str">
        <f t="shared" si="51"/>
        <v>A0F928</v>
      </c>
      <c r="V1092">
        <v>0</v>
      </c>
      <c r="W1092">
        <v>0</v>
      </c>
      <c r="X1092">
        <v>2</v>
      </c>
      <c r="Z1092">
        <v>0</v>
      </c>
      <c r="AA1092">
        <v>9</v>
      </c>
      <c r="AB1092">
        <v>3</v>
      </c>
      <c r="AC1092">
        <v>0</v>
      </c>
      <c r="AD1092">
        <v>10</v>
      </c>
      <c r="AE1092">
        <v>0</v>
      </c>
      <c r="AF1092">
        <v>0</v>
      </c>
      <c r="AG1092">
        <v>2</v>
      </c>
      <c r="AH1092">
        <v>1</v>
      </c>
      <c r="AI1092" t="s">
        <v>634</v>
      </c>
      <c r="AJ1092">
        <v>35.839869999999998</v>
      </c>
      <c r="AK1092" t="s">
        <v>635</v>
      </c>
      <c r="AL1092">
        <v>-83.952842000000004</v>
      </c>
      <c r="AM1092">
        <v>25</v>
      </c>
      <c r="AN1092">
        <v>1250</v>
      </c>
      <c r="AO1092" t="s">
        <v>118</v>
      </c>
      <c r="AP1092">
        <v>-81</v>
      </c>
      <c r="AQ1092">
        <v>29</v>
      </c>
      <c r="AR1092">
        <v>-512</v>
      </c>
      <c r="AZ1092">
        <v>300</v>
      </c>
      <c r="BA1092">
        <v>1</v>
      </c>
      <c r="BB1092" t="str">
        <f t="shared" si="50"/>
        <v xml:space="preserve">N162AM  </v>
      </c>
      <c r="BC1092">
        <v>1</v>
      </c>
      <c r="BE1092">
        <v>0</v>
      </c>
      <c r="BF1092">
        <v>0</v>
      </c>
      <c r="BG1092">
        <v>0</v>
      </c>
      <c r="BH1092">
        <v>1500</v>
      </c>
      <c r="BI1092">
        <v>1</v>
      </c>
      <c r="BJ1092">
        <v>1</v>
      </c>
      <c r="BK1092">
        <v>1</v>
      </c>
      <c r="BL1092">
        <v>0</v>
      </c>
      <c r="BO1092">
        <v>0</v>
      </c>
      <c r="BP1092">
        <v>0</v>
      </c>
      <c r="BW1092" t="str">
        <f>"14:47:26.742"</f>
        <v>14:47:26.742</v>
      </c>
      <c r="CJ1092">
        <v>2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232</v>
      </c>
      <c r="CR1092">
        <v>2</v>
      </c>
      <c r="CW1092">
        <v>6460835</v>
      </c>
      <c r="CY1092">
        <v>1</v>
      </c>
      <c r="CZ1092">
        <v>0</v>
      </c>
      <c r="DA1092">
        <v>1</v>
      </c>
      <c r="DB1092">
        <v>0</v>
      </c>
      <c r="DC1092">
        <v>0</v>
      </c>
      <c r="DD1092">
        <v>1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"12/16/2021 14:47:27.999"</f>
        <v>12/16/2021 14:47:27.999</v>
      </c>
      <c r="C1093" t="str">
        <f t="shared" si="49"/>
        <v>FFDFD3C0</v>
      </c>
      <c r="D1093" t="s">
        <v>113</v>
      </c>
      <c r="E1093">
        <v>8</v>
      </c>
      <c r="H1093">
        <v>176</v>
      </c>
      <c r="I1093" t="s">
        <v>114</v>
      </c>
      <c r="J1093" t="s">
        <v>115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"14:47:27.734"</f>
        <v>14:47:27.734</v>
      </c>
      <c r="T1093" t="str">
        <f>"14:47:27.234"</f>
        <v>14:47:27.234</v>
      </c>
      <c r="U1093" t="str">
        <f t="shared" si="51"/>
        <v>A0F928</v>
      </c>
      <c r="V1093">
        <v>0</v>
      </c>
      <c r="W1093">
        <v>0</v>
      </c>
      <c r="X1093">
        <v>2</v>
      </c>
      <c r="Z1093">
        <v>0</v>
      </c>
      <c r="AA1093">
        <v>9</v>
      </c>
      <c r="AB1093">
        <v>3</v>
      </c>
      <c r="AC1093">
        <v>0</v>
      </c>
      <c r="AD1093">
        <v>10</v>
      </c>
      <c r="AE1093">
        <v>0</v>
      </c>
      <c r="AF1093">
        <v>3</v>
      </c>
      <c r="AG1093">
        <v>2</v>
      </c>
      <c r="AH1093">
        <v>1</v>
      </c>
      <c r="AI1093" t="s">
        <v>636</v>
      </c>
      <c r="AJ1093">
        <v>35.839956000000001</v>
      </c>
      <c r="AK1093" t="s">
        <v>637</v>
      </c>
      <c r="AL1093">
        <v>-83.953314000000006</v>
      </c>
      <c r="AM1093">
        <v>25</v>
      </c>
      <c r="AN1093">
        <v>1225</v>
      </c>
      <c r="AO1093" t="s">
        <v>118</v>
      </c>
      <c r="AP1093">
        <v>-83</v>
      </c>
      <c r="AQ1093">
        <v>22</v>
      </c>
      <c r="AR1093">
        <v>-576</v>
      </c>
      <c r="AZ1093">
        <v>300</v>
      </c>
      <c r="BA1093">
        <v>1</v>
      </c>
      <c r="BB1093" t="str">
        <f t="shared" si="50"/>
        <v xml:space="preserve">N162AM  </v>
      </c>
      <c r="BC1093">
        <v>1</v>
      </c>
      <c r="BE1093">
        <v>0</v>
      </c>
      <c r="BF1093">
        <v>0</v>
      </c>
      <c r="BG1093">
        <v>0</v>
      </c>
      <c r="BH1093">
        <v>1475</v>
      </c>
      <c r="BI1093">
        <v>1</v>
      </c>
      <c r="BJ1093">
        <v>1</v>
      </c>
      <c r="BK1093">
        <v>1</v>
      </c>
      <c r="BL1093">
        <v>0</v>
      </c>
      <c r="BO1093">
        <v>0</v>
      </c>
      <c r="BP1093">
        <v>0</v>
      </c>
      <c r="BW1093" t="str">
        <f>"14:47:27.740"</f>
        <v>14:47:27.740</v>
      </c>
      <c r="CJ1093">
        <v>3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232</v>
      </c>
      <c r="CR1093">
        <v>1</v>
      </c>
      <c r="CW1093">
        <v>15269278</v>
      </c>
      <c r="CY1093">
        <v>1</v>
      </c>
      <c r="CZ1093">
        <v>0</v>
      </c>
      <c r="DA1093">
        <v>0</v>
      </c>
      <c r="DB1093">
        <v>0</v>
      </c>
      <c r="DC1093">
        <v>0</v>
      </c>
      <c r="DD1093">
        <v>1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"12/16/2021 14:47:28.015"</f>
        <v>12/16/2021 14:47:28.015</v>
      </c>
      <c r="C1094" t="str">
        <f t="shared" si="49"/>
        <v>FFDFD3C0</v>
      </c>
      <c r="D1094" t="s">
        <v>133</v>
      </c>
      <c r="E1094">
        <v>44</v>
      </c>
      <c r="H1094">
        <v>131</v>
      </c>
      <c r="I1094" t="s">
        <v>134</v>
      </c>
      <c r="J1094" t="s">
        <v>135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"14:47:27.734"</f>
        <v>14:47:27.734</v>
      </c>
      <c r="T1094" t="str">
        <f>"14:47:27.234"</f>
        <v>14:47:27.234</v>
      </c>
      <c r="U1094" t="str">
        <f t="shared" si="51"/>
        <v>A0F928</v>
      </c>
      <c r="V1094">
        <v>0</v>
      </c>
      <c r="W1094">
        <v>0</v>
      </c>
      <c r="X1094">
        <v>2</v>
      </c>
      <c r="Z1094">
        <v>0</v>
      </c>
      <c r="AA1094">
        <v>9</v>
      </c>
      <c r="AB1094">
        <v>3</v>
      </c>
      <c r="AC1094">
        <v>0</v>
      </c>
      <c r="AD1094">
        <v>10</v>
      </c>
      <c r="AE1094">
        <v>0</v>
      </c>
      <c r="AF1094">
        <v>3</v>
      </c>
      <c r="AG1094">
        <v>2</v>
      </c>
      <c r="AH1094">
        <v>1</v>
      </c>
      <c r="AI1094" t="s">
        <v>636</v>
      </c>
      <c r="AJ1094">
        <v>35.839956000000001</v>
      </c>
      <c r="AK1094" t="s">
        <v>637</v>
      </c>
      <c r="AL1094">
        <v>-83.953314000000006</v>
      </c>
      <c r="AM1094">
        <v>25</v>
      </c>
      <c r="AN1094">
        <v>1225</v>
      </c>
      <c r="AO1094" t="s">
        <v>118</v>
      </c>
      <c r="AP1094">
        <v>-83</v>
      </c>
      <c r="AQ1094">
        <v>22</v>
      </c>
      <c r="AR1094">
        <v>-576</v>
      </c>
      <c r="AZ1094">
        <v>300</v>
      </c>
      <c r="BA1094">
        <v>1</v>
      </c>
      <c r="BB1094" t="str">
        <f t="shared" si="50"/>
        <v xml:space="preserve">N162AM  </v>
      </c>
      <c r="BC1094">
        <v>1</v>
      </c>
      <c r="BE1094">
        <v>0</v>
      </c>
      <c r="BF1094">
        <v>0</v>
      </c>
      <c r="BG1094">
        <v>0</v>
      </c>
      <c r="BH1094">
        <v>1475</v>
      </c>
      <c r="BI1094">
        <v>1</v>
      </c>
      <c r="BJ1094">
        <v>1</v>
      </c>
      <c r="BK1094">
        <v>1</v>
      </c>
      <c r="BL1094">
        <v>0</v>
      </c>
      <c r="BO1094">
        <v>0</v>
      </c>
      <c r="BP1094">
        <v>0</v>
      </c>
      <c r="BW1094" t="str">
        <f>"14:47:27.740"</f>
        <v>14:47:27.740</v>
      </c>
      <c r="CJ1094">
        <v>3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232</v>
      </c>
      <c r="CR1094">
        <v>1</v>
      </c>
      <c r="CW1094">
        <v>15269278</v>
      </c>
      <c r="CY1094">
        <v>1</v>
      </c>
      <c r="CZ1094">
        <v>0</v>
      </c>
      <c r="DA1094">
        <v>1</v>
      </c>
      <c r="DB1094">
        <v>0</v>
      </c>
      <c r="DC1094">
        <v>0</v>
      </c>
      <c r="DD1094">
        <v>1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"12/16/2021 14:47:27.999"</f>
        <v>12/16/2021 14:47:27.999</v>
      </c>
      <c r="C1095" t="str">
        <f t="shared" si="49"/>
        <v>FFDFD3C0</v>
      </c>
      <c r="D1095" t="s">
        <v>124</v>
      </c>
      <c r="E1095">
        <v>5</v>
      </c>
      <c r="F1095">
        <v>1005</v>
      </c>
      <c r="G1095" t="s">
        <v>114</v>
      </c>
      <c r="J1095" t="s">
        <v>125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"14:47:27.734"</f>
        <v>14:47:27.734</v>
      </c>
      <c r="T1095" t="str">
        <f>"14:47:27.234"</f>
        <v>14:47:27.234</v>
      </c>
      <c r="U1095" t="str">
        <f t="shared" si="51"/>
        <v>A0F928</v>
      </c>
      <c r="V1095">
        <v>0</v>
      </c>
      <c r="W1095">
        <v>0</v>
      </c>
      <c r="X1095">
        <v>2</v>
      </c>
      <c r="Z1095">
        <v>0</v>
      </c>
      <c r="AA1095">
        <v>9</v>
      </c>
      <c r="AB1095">
        <v>3</v>
      </c>
      <c r="AC1095">
        <v>0</v>
      </c>
      <c r="AD1095">
        <v>10</v>
      </c>
      <c r="AE1095">
        <v>0</v>
      </c>
      <c r="AF1095">
        <v>3</v>
      </c>
      <c r="AG1095">
        <v>2</v>
      </c>
      <c r="AH1095">
        <v>1</v>
      </c>
      <c r="AI1095" t="s">
        <v>636</v>
      </c>
      <c r="AJ1095">
        <v>35.839956000000001</v>
      </c>
      <c r="AK1095" t="s">
        <v>637</v>
      </c>
      <c r="AL1095">
        <v>-83.953314000000006</v>
      </c>
      <c r="AM1095">
        <v>25</v>
      </c>
      <c r="AN1095">
        <v>1225</v>
      </c>
      <c r="AO1095" t="s">
        <v>118</v>
      </c>
      <c r="AP1095">
        <v>-83</v>
      </c>
      <c r="AQ1095">
        <v>22</v>
      </c>
      <c r="AR1095">
        <v>-576</v>
      </c>
      <c r="AZ1095">
        <v>300</v>
      </c>
      <c r="BA1095">
        <v>1</v>
      </c>
      <c r="BB1095" t="str">
        <f t="shared" si="50"/>
        <v xml:space="preserve">N162AM  </v>
      </c>
      <c r="BC1095">
        <v>1</v>
      </c>
      <c r="BE1095">
        <v>0</v>
      </c>
      <c r="BF1095">
        <v>0</v>
      </c>
      <c r="BG1095">
        <v>0</v>
      </c>
      <c r="BH1095">
        <v>1475</v>
      </c>
      <c r="BI1095">
        <v>1</v>
      </c>
      <c r="BJ1095">
        <v>1</v>
      </c>
      <c r="BK1095">
        <v>1</v>
      </c>
      <c r="BL1095">
        <v>0</v>
      </c>
      <c r="BO1095">
        <v>0</v>
      </c>
      <c r="BP1095">
        <v>0</v>
      </c>
      <c r="BW1095" t="str">
        <f>"14:47:27.740"</f>
        <v>14:47:27.740</v>
      </c>
      <c r="CJ1095">
        <v>3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119</v>
      </c>
      <c r="CQ1095">
        <v>232</v>
      </c>
      <c r="CR1095">
        <v>1</v>
      </c>
      <c r="CW1095">
        <v>15269278</v>
      </c>
      <c r="CY1095">
        <v>1</v>
      </c>
      <c r="CZ1095">
        <v>0</v>
      </c>
      <c r="DA1095">
        <v>1</v>
      </c>
      <c r="DB1095">
        <v>0</v>
      </c>
      <c r="DC1095">
        <v>0</v>
      </c>
      <c r="DD1095">
        <v>1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"12/16/2021 14:47:28.015"</f>
        <v>12/16/2021 14:47:28.015</v>
      </c>
      <c r="C1096" t="str">
        <f t="shared" si="49"/>
        <v>FFDFD3C0</v>
      </c>
      <c r="D1096" t="s">
        <v>124</v>
      </c>
      <c r="E1096">
        <v>10</v>
      </c>
      <c r="F1096">
        <v>1010</v>
      </c>
      <c r="G1096" t="s">
        <v>130</v>
      </c>
      <c r="J1096" t="s">
        <v>125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"14:47:27.734"</f>
        <v>14:47:27.734</v>
      </c>
      <c r="T1096" t="str">
        <f>"14:47:27.234"</f>
        <v>14:47:27.234</v>
      </c>
      <c r="U1096" t="str">
        <f t="shared" si="51"/>
        <v>A0F928</v>
      </c>
      <c r="V1096">
        <v>0</v>
      </c>
      <c r="W1096">
        <v>0</v>
      </c>
      <c r="X1096">
        <v>2</v>
      </c>
      <c r="Z1096">
        <v>0</v>
      </c>
      <c r="AA1096">
        <v>9</v>
      </c>
      <c r="AB1096">
        <v>3</v>
      </c>
      <c r="AC1096">
        <v>0</v>
      </c>
      <c r="AD1096">
        <v>10</v>
      </c>
      <c r="AE1096">
        <v>0</v>
      </c>
      <c r="AF1096">
        <v>0</v>
      </c>
      <c r="AG1096">
        <v>2</v>
      </c>
      <c r="AH1096">
        <v>1</v>
      </c>
      <c r="AI1096" t="s">
        <v>636</v>
      </c>
      <c r="AJ1096">
        <v>35.839956000000001</v>
      </c>
      <c r="AK1096" t="s">
        <v>637</v>
      </c>
      <c r="AL1096">
        <v>-83.953314000000006</v>
      </c>
      <c r="AM1096">
        <v>25</v>
      </c>
      <c r="AN1096">
        <v>1225</v>
      </c>
      <c r="AO1096" t="s">
        <v>118</v>
      </c>
      <c r="AP1096">
        <v>-83</v>
      </c>
      <c r="AQ1096">
        <v>22</v>
      </c>
      <c r="AR1096">
        <v>-576</v>
      </c>
      <c r="AZ1096">
        <v>300</v>
      </c>
      <c r="BA1096">
        <v>1</v>
      </c>
      <c r="BB1096" t="str">
        <f t="shared" si="50"/>
        <v xml:space="preserve">N162AM  </v>
      </c>
      <c r="BC1096">
        <v>1</v>
      </c>
      <c r="BE1096">
        <v>0</v>
      </c>
      <c r="BF1096">
        <v>0</v>
      </c>
      <c r="BG1096">
        <v>0</v>
      </c>
      <c r="BH1096">
        <v>1475</v>
      </c>
      <c r="BI1096">
        <v>1</v>
      </c>
      <c r="BJ1096">
        <v>1</v>
      </c>
      <c r="BK1096">
        <v>1</v>
      </c>
      <c r="BL1096">
        <v>0</v>
      </c>
      <c r="BO1096">
        <v>0</v>
      </c>
      <c r="BP1096">
        <v>0</v>
      </c>
      <c r="BW1096" t="str">
        <f>"14:47:27.740"</f>
        <v>14:47:27.740</v>
      </c>
      <c r="CJ1096">
        <v>2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232</v>
      </c>
      <c r="CR1096">
        <v>1</v>
      </c>
      <c r="CW1096">
        <v>15269278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1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"12/16/2021 14:47:29.265"</f>
        <v>12/16/2021 14:47:29.265</v>
      </c>
      <c r="C1097" t="str">
        <f t="shared" si="49"/>
        <v>FFDFD3C0</v>
      </c>
      <c r="D1097" t="s">
        <v>124</v>
      </c>
      <c r="E1097">
        <v>10</v>
      </c>
      <c r="F1097">
        <v>1010</v>
      </c>
      <c r="G1097" t="s">
        <v>130</v>
      </c>
      <c r="J1097" t="s">
        <v>125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"14:47:29.023"</f>
        <v>14:47:29.023</v>
      </c>
      <c r="T1097" t="str">
        <f>"14:47:28.623"</f>
        <v>14:47:28.623</v>
      </c>
      <c r="U1097" t="str">
        <f t="shared" si="51"/>
        <v>A0F928</v>
      </c>
      <c r="V1097">
        <v>0</v>
      </c>
      <c r="W1097">
        <v>0</v>
      </c>
      <c r="X1097">
        <v>2</v>
      </c>
      <c r="Z1097">
        <v>0</v>
      </c>
      <c r="AA1097">
        <v>9</v>
      </c>
      <c r="AB1097">
        <v>3</v>
      </c>
      <c r="AC1097">
        <v>0</v>
      </c>
      <c r="AD1097">
        <v>10</v>
      </c>
      <c r="AE1097">
        <v>0</v>
      </c>
      <c r="AF1097">
        <v>0</v>
      </c>
      <c r="AG1097">
        <v>2</v>
      </c>
      <c r="AH1097">
        <v>1</v>
      </c>
      <c r="AI1097" t="s">
        <v>638</v>
      </c>
      <c r="AJ1097">
        <v>35.840020000000003</v>
      </c>
      <c r="AK1097" t="s">
        <v>535</v>
      </c>
      <c r="AL1097">
        <v>-83.953979000000004</v>
      </c>
      <c r="AM1097">
        <v>25</v>
      </c>
      <c r="AN1097">
        <v>1225</v>
      </c>
      <c r="AO1097" t="s">
        <v>118</v>
      </c>
      <c r="AP1097">
        <v>-85</v>
      </c>
      <c r="AQ1097">
        <v>11</v>
      </c>
      <c r="AR1097">
        <v>-704</v>
      </c>
      <c r="AZ1097">
        <v>300</v>
      </c>
      <c r="BA1097">
        <v>1</v>
      </c>
      <c r="BB1097" t="str">
        <f t="shared" si="50"/>
        <v xml:space="preserve">N162AM  </v>
      </c>
      <c r="BC1097">
        <v>1</v>
      </c>
      <c r="BE1097">
        <v>0</v>
      </c>
      <c r="BF1097">
        <v>0</v>
      </c>
      <c r="BG1097">
        <v>0</v>
      </c>
      <c r="BH1097">
        <v>1475</v>
      </c>
      <c r="BI1097">
        <v>1</v>
      </c>
      <c r="BJ1097">
        <v>1</v>
      </c>
      <c r="BK1097">
        <v>1</v>
      </c>
      <c r="BL1097">
        <v>0</v>
      </c>
      <c r="BO1097">
        <v>0</v>
      </c>
      <c r="BP1097">
        <v>0</v>
      </c>
      <c r="BW1097" t="str">
        <f>"14:47:29.026"</f>
        <v>14:47:29.026</v>
      </c>
      <c r="CJ1097">
        <v>2</v>
      </c>
      <c r="CK1097">
        <v>2</v>
      </c>
      <c r="CL1097">
        <v>0</v>
      </c>
      <c r="CM1097">
        <v>2</v>
      </c>
      <c r="CN1097">
        <v>0</v>
      </c>
      <c r="CO1097">
        <v>7</v>
      </c>
      <c r="CP1097" t="s">
        <v>119</v>
      </c>
      <c r="CQ1097">
        <v>232</v>
      </c>
      <c r="CR1097">
        <v>2</v>
      </c>
      <c r="CW1097">
        <v>6464355</v>
      </c>
      <c r="CY1097">
        <v>1</v>
      </c>
      <c r="CZ1097">
        <v>0</v>
      </c>
      <c r="DA1097">
        <v>0</v>
      </c>
      <c r="DB1097">
        <v>0</v>
      </c>
      <c r="DC1097">
        <v>0</v>
      </c>
      <c r="DD1097">
        <v>1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"12/16/2021 14:47:29.265"</f>
        <v>12/16/2021 14:47:29.265</v>
      </c>
      <c r="C1098" t="str">
        <f t="shared" si="49"/>
        <v>FFDFD3C0</v>
      </c>
      <c r="D1098" t="s">
        <v>113</v>
      </c>
      <c r="E1098">
        <v>8</v>
      </c>
      <c r="H1098">
        <v>176</v>
      </c>
      <c r="I1098" t="s">
        <v>114</v>
      </c>
      <c r="J1098" t="s">
        <v>115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"14:47:29.023"</f>
        <v>14:47:29.023</v>
      </c>
      <c r="T1098" t="str">
        <f>"14:47:28.623"</f>
        <v>14:47:28.623</v>
      </c>
      <c r="U1098" t="str">
        <f t="shared" si="51"/>
        <v>A0F928</v>
      </c>
      <c r="V1098">
        <v>0</v>
      </c>
      <c r="W1098">
        <v>0</v>
      </c>
      <c r="X1098">
        <v>2</v>
      </c>
      <c r="Z1098">
        <v>0</v>
      </c>
      <c r="AA1098">
        <v>9</v>
      </c>
      <c r="AB1098">
        <v>3</v>
      </c>
      <c r="AC1098">
        <v>0</v>
      </c>
      <c r="AD1098">
        <v>10</v>
      </c>
      <c r="AE1098">
        <v>0</v>
      </c>
      <c r="AF1098">
        <v>3</v>
      </c>
      <c r="AG1098">
        <v>2</v>
      </c>
      <c r="AH1098">
        <v>1</v>
      </c>
      <c r="AI1098" t="s">
        <v>638</v>
      </c>
      <c r="AJ1098">
        <v>35.840020000000003</v>
      </c>
      <c r="AK1098" t="s">
        <v>535</v>
      </c>
      <c r="AL1098">
        <v>-83.953979000000004</v>
      </c>
      <c r="AM1098">
        <v>25</v>
      </c>
      <c r="AN1098">
        <v>1225</v>
      </c>
      <c r="AO1098" t="s">
        <v>118</v>
      </c>
      <c r="AP1098">
        <v>-85</v>
      </c>
      <c r="AQ1098">
        <v>11</v>
      </c>
      <c r="AR1098">
        <v>-704</v>
      </c>
      <c r="AZ1098">
        <v>300</v>
      </c>
      <c r="BA1098">
        <v>1</v>
      </c>
      <c r="BB1098" t="str">
        <f t="shared" si="50"/>
        <v xml:space="preserve">N162AM  </v>
      </c>
      <c r="BC1098">
        <v>1</v>
      </c>
      <c r="BE1098">
        <v>0</v>
      </c>
      <c r="BF1098">
        <v>0</v>
      </c>
      <c r="BG1098">
        <v>0</v>
      </c>
      <c r="BH1098">
        <v>1475</v>
      </c>
      <c r="BI1098">
        <v>1</v>
      </c>
      <c r="BJ1098">
        <v>1</v>
      </c>
      <c r="BK1098">
        <v>1</v>
      </c>
      <c r="BL1098">
        <v>0</v>
      </c>
      <c r="BO1098">
        <v>0</v>
      </c>
      <c r="BP1098">
        <v>0</v>
      </c>
      <c r="BW1098" t="str">
        <f>"14:47:29.026"</f>
        <v>14:47:29.026</v>
      </c>
      <c r="CJ1098">
        <v>3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119</v>
      </c>
      <c r="CQ1098">
        <v>232</v>
      </c>
      <c r="CR1098">
        <v>2</v>
      </c>
      <c r="CW1098">
        <v>6464355</v>
      </c>
      <c r="CY1098">
        <v>1</v>
      </c>
      <c r="CZ1098">
        <v>0</v>
      </c>
      <c r="DA1098">
        <v>1</v>
      </c>
      <c r="DB1098">
        <v>0</v>
      </c>
      <c r="DC1098">
        <v>0</v>
      </c>
      <c r="DD1098">
        <v>1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"12/16/2021 14:47:29.265"</f>
        <v>12/16/2021 14:47:29.265</v>
      </c>
      <c r="C1099" t="str">
        <f t="shared" si="49"/>
        <v>FFDFD3C0</v>
      </c>
      <c r="D1099" t="s">
        <v>124</v>
      </c>
      <c r="E1099">
        <v>5</v>
      </c>
      <c r="F1099">
        <v>1005</v>
      </c>
      <c r="G1099" t="s">
        <v>114</v>
      </c>
      <c r="J1099" t="s">
        <v>125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"14:47:29.023"</f>
        <v>14:47:29.023</v>
      </c>
      <c r="T1099" t="str">
        <f>"14:47:28.623"</f>
        <v>14:47:28.623</v>
      </c>
      <c r="U1099" t="str">
        <f t="shared" si="51"/>
        <v>A0F928</v>
      </c>
      <c r="V1099">
        <v>0</v>
      </c>
      <c r="W1099">
        <v>0</v>
      </c>
      <c r="X1099">
        <v>2</v>
      </c>
      <c r="Z1099">
        <v>0</v>
      </c>
      <c r="AA1099">
        <v>9</v>
      </c>
      <c r="AB1099">
        <v>3</v>
      </c>
      <c r="AC1099">
        <v>0</v>
      </c>
      <c r="AD1099">
        <v>10</v>
      </c>
      <c r="AE1099">
        <v>0</v>
      </c>
      <c r="AF1099">
        <v>3</v>
      </c>
      <c r="AG1099">
        <v>2</v>
      </c>
      <c r="AH1099">
        <v>1</v>
      </c>
      <c r="AI1099" t="s">
        <v>638</v>
      </c>
      <c r="AJ1099">
        <v>35.840020000000003</v>
      </c>
      <c r="AK1099" t="s">
        <v>535</v>
      </c>
      <c r="AL1099">
        <v>-83.953979000000004</v>
      </c>
      <c r="AM1099">
        <v>25</v>
      </c>
      <c r="AN1099">
        <v>1225</v>
      </c>
      <c r="AO1099" t="s">
        <v>118</v>
      </c>
      <c r="AP1099">
        <v>-85</v>
      </c>
      <c r="AQ1099">
        <v>11</v>
      </c>
      <c r="AR1099">
        <v>-704</v>
      </c>
      <c r="AZ1099">
        <v>300</v>
      </c>
      <c r="BA1099">
        <v>1</v>
      </c>
      <c r="BB1099" t="str">
        <f t="shared" si="50"/>
        <v xml:space="preserve">N162AM  </v>
      </c>
      <c r="BC1099">
        <v>1</v>
      </c>
      <c r="BE1099">
        <v>0</v>
      </c>
      <c r="BF1099">
        <v>0</v>
      </c>
      <c r="BG1099">
        <v>0</v>
      </c>
      <c r="BH1099">
        <v>1475</v>
      </c>
      <c r="BI1099">
        <v>1</v>
      </c>
      <c r="BJ1099">
        <v>1</v>
      </c>
      <c r="BK1099">
        <v>1</v>
      </c>
      <c r="BL1099">
        <v>0</v>
      </c>
      <c r="BO1099">
        <v>0</v>
      </c>
      <c r="BP1099">
        <v>0</v>
      </c>
      <c r="BW1099" t="str">
        <f>"14:47:29.026"</f>
        <v>14:47:29.026</v>
      </c>
      <c r="CJ1099">
        <v>3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119</v>
      </c>
      <c r="CQ1099">
        <v>232</v>
      </c>
      <c r="CR1099">
        <v>2</v>
      </c>
      <c r="CW1099">
        <v>6464355</v>
      </c>
      <c r="CY1099">
        <v>1</v>
      </c>
      <c r="CZ1099">
        <v>0</v>
      </c>
      <c r="DA1099">
        <v>1</v>
      </c>
      <c r="DB1099">
        <v>0</v>
      </c>
      <c r="DC1099">
        <v>0</v>
      </c>
      <c r="DD1099">
        <v>1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"12/16/2021 14:47:29.265"</f>
        <v>12/16/2021 14:47:29.265</v>
      </c>
      <c r="C1100" t="str">
        <f t="shared" ref="C1100:C1163" si="52">"FFDFD3C0"</f>
        <v>FFDFD3C0</v>
      </c>
      <c r="D1100" t="s">
        <v>133</v>
      </c>
      <c r="E1100">
        <v>44</v>
      </c>
      <c r="H1100">
        <v>131</v>
      </c>
      <c r="I1100" t="s">
        <v>134</v>
      </c>
      <c r="J1100" t="s">
        <v>135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"14:47:29.023"</f>
        <v>14:47:29.023</v>
      </c>
      <c r="T1100" t="str">
        <f>"14:47:28.623"</f>
        <v>14:47:28.623</v>
      </c>
      <c r="U1100" t="str">
        <f t="shared" si="51"/>
        <v>A0F928</v>
      </c>
      <c r="V1100">
        <v>0</v>
      </c>
      <c r="W1100">
        <v>0</v>
      </c>
      <c r="X1100">
        <v>2</v>
      </c>
      <c r="Z1100">
        <v>0</v>
      </c>
      <c r="AA1100">
        <v>9</v>
      </c>
      <c r="AB1100">
        <v>3</v>
      </c>
      <c r="AC1100">
        <v>0</v>
      </c>
      <c r="AD1100">
        <v>10</v>
      </c>
      <c r="AE1100">
        <v>0</v>
      </c>
      <c r="AF1100">
        <v>3</v>
      </c>
      <c r="AG1100">
        <v>2</v>
      </c>
      <c r="AH1100">
        <v>1</v>
      </c>
      <c r="AI1100" t="s">
        <v>638</v>
      </c>
      <c r="AJ1100">
        <v>35.840020000000003</v>
      </c>
      <c r="AK1100" t="s">
        <v>535</v>
      </c>
      <c r="AL1100">
        <v>-83.953979000000004</v>
      </c>
      <c r="AM1100">
        <v>25</v>
      </c>
      <c r="AN1100">
        <v>1225</v>
      </c>
      <c r="AO1100" t="s">
        <v>118</v>
      </c>
      <c r="AP1100">
        <v>-85</v>
      </c>
      <c r="AQ1100">
        <v>11</v>
      </c>
      <c r="AR1100">
        <v>-704</v>
      </c>
      <c r="AZ1100">
        <v>300</v>
      </c>
      <c r="BA1100">
        <v>1</v>
      </c>
      <c r="BB1100" t="str">
        <f t="shared" ref="BB1100:BB1163" si="53">"N162AM  "</f>
        <v xml:space="preserve">N162AM  </v>
      </c>
      <c r="BC1100">
        <v>1</v>
      </c>
      <c r="BE1100">
        <v>0</v>
      </c>
      <c r="BF1100">
        <v>0</v>
      </c>
      <c r="BG1100">
        <v>0</v>
      </c>
      <c r="BH1100">
        <v>1475</v>
      </c>
      <c r="BI1100">
        <v>1</v>
      </c>
      <c r="BJ1100">
        <v>1</v>
      </c>
      <c r="BK1100">
        <v>1</v>
      </c>
      <c r="BL1100">
        <v>0</v>
      </c>
      <c r="BO1100">
        <v>0</v>
      </c>
      <c r="BP1100">
        <v>0</v>
      </c>
      <c r="BW1100" t="str">
        <f>"14:47:29.026"</f>
        <v>14:47:29.026</v>
      </c>
      <c r="CJ1100">
        <v>3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119</v>
      </c>
      <c r="CQ1100">
        <v>232</v>
      </c>
      <c r="CR1100">
        <v>2</v>
      </c>
      <c r="CW1100">
        <v>6464355</v>
      </c>
      <c r="CY1100">
        <v>1</v>
      </c>
      <c r="CZ1100">
        <v>0</v>
      </c>
      <c r="DA1100">
        <v>1</v>
      </c>
      <c r="DB1100">
        <v>0</v>
      </c>
      <c r="DC1100">
        <v>0</v>
      </c>
      <c r="DD1100">
        <v>1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"12/16/2021 14:47:30.586"</f>
        <v>12/16/2021 14:47:30.586</v>
      </c>
      <c r="C1101" t="str">
        <f t="shared" si="52"/>
        <v>FFDFD3C0</v>
      </c>
      <c r="D1101" t="s">
        <v>133</v>
      </c>
      <c r="E1101">
        <v>44</v>
      </c>
      <c r="H1101">
        <v>131</v>
      </c>
      <c r="I1101" t="s">
        <v>134</v>
      </c>
      <c r="J1101" t="s">
        <v>135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"14:47:30.359"</f>
        <v>14:47:30.359</v>
      </c>
      <c r="T1101" t="str">
        <f>"14:47:29.959"</f>
        <v>14:47:29.959</v>
      </c>
      <c r="U1101" t="str">
        <f t="shared" si="51"/>
        <v>A0F928</v>
      </c>
      <c r="V1101">
        <v>0</v>
      </c>
      <c r="W1101">
        <v>0</v>
      </c>
      <c r="X1101">
        <v>2</v>
      </c>
      <c r="Z1101">
        <v>0</v>
      </c>
      <c r="AA1101">
        <v>9</v>
      </c>
      <c r="AB1101">
        <v>3</v>
      </c>
      <c r="AC1101">
        <v>0</v>
      </c>
      <c r="AD1101">
        <v>10</v>
      </c>
      <c r="AE1101">
        <v>0</v>
      </c>
      <c r="AF1101">
        <v>3</v>
      </c>
      <c r="AG1101">
        <v>2</v>
      </c>
      <c r="AH1101">
        <v>1</v>
      </c>
      <c r="AI1101" t="s">
        <v>638</v>
      </c>
      <c r="AJ1101">
        <v>35.840020000000003</v>
      </c>
      <c r="AK1101" t="s">
        <v>521</v>
      </c>
      <c r="AL1101">
        <v>-83.954666000000003</v>
      </c>
      <c r="AM1101">
        <v>25</v>
      </c>
      <c r="AN1101">
        <v>1200</v>
      </c>
      <c r="AO1101" t="s">
        <v>118</v>
      </c>
      <c r="AP1101">
        <v>-87</v>
      </c>
      <c r="AQ1101">
        <v>0</v>
      </c>
      <c r="AR1101">
        <v>-768</v>
      </c>
      <c r="AZ1101">
        <v>300</v>
      </c>
      <c r="BA1101">
        <v>1</v>
      </c>
      <c r="BB1101" t="str">
        <f t="shared" si="53"/>
        <v xml:space="preserve">N162AM  </v>
      </c>
      <c r="BC1101">
        <v>1</v>
      </c>
      <c r="BE1101">
        <v>0</v>
      </c>
      <c r="BF1101">
        <v>0</v>
      </c>
      <c r="BG1101">
        <v>0</v>
      </c>
      <c r="BH1101">
        <v>1450</v>
      </c>
      <c r="BI1101">
        <v>1</v>
      </c>
      <c r="BJ1101">
        <v>1</v>
      </c>
      <c r="BK1101">
        <v>1</v>
      </c>
      <c r="BL1101">
        <v>0</v>
      </c>
      <c r="BO1101">
        <v>0</v>
      </c>
      <c r="BP1101">
        <v>0</v>
      </c>
      <c r="BW1101" t="str">
        <f>"14:47:30.361"</f>
        <v>14:47:30.361</v>
      </c>
      <c r="CJ1101">
        <v>3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119</v>
      </c>
      <c r="CQ1101">
        <v>232</v>
      </c>
      <c r="CR1101">
        <v>1</v>
      </c>
      <c r="CW1101">
        <v>15273415</v>
      </c>
      <c r="CY1101">
        <v>1</v>
      </c>
      <c r="CZ1101">
        <v>0</v>
      </c>
      <c r="DA1101">
        <v>0</v>
      </c>
      <c r="DB1101">
        <v>0</v>
      </c>
      <c r="DC1101">
        <v>0</v>
      </c>
      <c r="DD1101">
        <v>1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"12/16/2021 14:47:30.633"</f>
        <v>12/16/2021 14:47:30.633</v>
      </c>
      <c r="C1102" t="str">
        <f t="shared" si="52"/>
        <v>FFDFD3C0</v>
      </c>
      <c r="D1102" t="s">
        <v>124</v>
      </c>
      <c r="E1102">
        <v>5</v>
      </c>
      <c r="F1102">
        <v>1005</v>
      </c>
      <c r="G1102" t="s">
        <v>114</v>
      </c>
      <c r="J1102" t="s">
        <v>125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"14:47:30.359"</f>
        <v>14:47:30.359</v>
      </c>
      <c r="T1102" t="str">
        <f>"14:47:29.959"</f>
        <v>14:47:29.959</v>
      </c>
      <c r="U1102" t="str">
        <f t="shared" si="51"/>
        <v>A0F928</v>
      </c>
      <c r="V1102">
        <v>0</v>
      </c>
      <c r="W1102">
        <v>0</v>
      </c>
      <c r="X1102">
        <v>2</v>
      </c>
      <c r="Z1102">
        <v>0</v>
      </c>
      <c r="AA1102">
        <v>9</v>
      </c>
      <c r="AB1102">
        <v>3</v>
      </c>
      <c r="AC1102">
        <v>0</v>
      </c>
      <c r="AD1102">
        <v>10</v>
      </c>
      <c r="AE1102">
        <v>0</v>
      </c>
      <c r="AF1102">
        <v>3</v>
      </c>
      <c r="AG1102">
        <v>2</v>
      </c>
      <c r="AH1102">
        <v>1</v>
      </c>
      <c r="AI1102" t="s">
        <v>638</v>
      </c>
      <c r="AJ1102">
        <v>35.840020000000003</v>
      </c>
      <c r="AK1102" t="s">
        <v>521</v>
      </c>
      <c r="AL1102">
        <v>-83.954666000000003</v>
      </c>
      <c r="AM1102">
        <v>25</v>
      </c>
      <c r="AN1102">
        <v>1200</v>
      </c>
      <c r="AO1102" t="s">
        <v>118</v>
      </c>
      <c r="AP1102">
        <v>-87</v>
      </c>
      <c r="AQ1102">
        <v>0</v>
      </c>
      <c r="AR1102">
        <v>-768</v>
      </c>
      <c r="AZ1102">
        <v>300</v>
      </c>
      <c r="BA1102">
        <v>1</v>
      </c>
      <c r="BB1102" t="str">
        <f t="shared" si="53"/>
        <v xml:space="preserve">N162AM  </v>
      </c>
      <c r="BC1102">
        <v>1</v>
      </c>
      <c r="BE1102">
        <v>0</v>
      </c>
      <c r="BF1102">
        <v>0</v>
      </c>
      <c r="BG1102">
        <v>0</v>
      </c>
      <c r="BH1102">
        <v>1450</v>
      </c>
      <c r="BI1102">
        <v>1</v>
      </c>
      <c r="BJ1102">
        <v>1</v>
      </c>
      <c r="BK1102">
        <v>1</v>
      </c>
      <c r="BL1102">
        <v>0</v>
      </c>
      <c r="BO1102">
        <v>0</v>
      </c>
      <c r="BP1102">
        <v>0</v>
      </c>
      <c r="BW1102" t="str">
        <f>"14:47:30.361"</f>
        <v>14:47:30.361</v>
      </c>
      <c r="CJ1102">
        <v>3</v>
      </c>
      <c r="CK1102">
        <v>2</v>
      </c>
      <c r="CL1102">
        <v>0</v>
      </c>
      <c r="CM1102">
        <v>2</v>
      </c>
      <c r="CN1102">
        <v>0</v>
      </c>
      <c r="CO1102">
        <v>7</v>
      </c>
      <c r="CP1102" t="s">
        <v>119</v>
      </c>
      <c r="CQ1102">
        <v>232</v>
      </c>
      <c r="CR1102">
        <v>1</v>
      </c>
      <c r="CW1102">
        <v>15273415</v>
      </c>
      <c r="CY1102">
        <v>1</v>
      </c>
      <c r="CZ1102">
        <v>0</v>
      </c>
      <c r="DA1102">
        <v>1</v>
      </c>
      <c r="DB1102">
        <v>0</v>
      </c>
      <c r="DC1102">
        <v>0</v>
      </c>
      <c r="DD1102">
        <v>1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"12/16/2021 14:47:30.633"</f>
        <v>12/16/2021 14:47:30.633</v>
      </c>
      <c r="C1103" t="str">
        <f t="shared" si="52"/>
        <v>FFDFD3C0</v>
      </c>
      <c r="D1103" t="s">
        <v>113</v>
      </c>
      <c r="E1103">
        <v>8</v>
      </c>
      <c r="H1103">
        <v>176</v>
      </c>
      <c r="I1103" t="s">
        <v>114</v>
      </c>
      <c r="J1103" t="s">
        <v>115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"14:47:30.359"</f>
        <v>14:47:30.359</v>
      </c>
      <c r="T1103" t="str">
        <f>"14:47:29.959"</f>
        <v>14:47:29.959</v>
      </c>
      <c r="U1103" t="str">
        <f t="shared" si="51"/>
        <v>A0F928</v>
      </c>
      <c r="V1103">
        <v>0</v>
      </c>
      <c r="W1103">
        <v>0</v>
      </c>
      <c r="X1103">
        <v>2</v>
      </c>
      <c r="Z1103">
        <v>0</v>
      </c>
      <c r="AA1103">
        <v>9</v>
      </c>
      <c r="AB1103">
        <v>3</v>
      </c>
      <c r="AC1103">
        <v>0</v>
      </c>
      <c r="AD1103">
        <v>10</v>
      </c>
      <c r="AE1103">
        <v>0</v>
      </c>
      <c r="AF1103">
        <v>3</v>
      </c>
      <c r="AG1103">
        <v>2</v>
      </c>
      <c r="AH1103">
        <v>1</v>
      </c>
      <c r="AI1103" t="s">
        <v>638</v>
      </c>
      <c r="AJ1103">
        <v>35.840020000000003</v>
      </c>
      <c r="AK1103" t="s">
        <v>521</v>
      </c>
      <c r="AL1103">
        <v>-83.954666000000003</v>
      </c>
      <c r="AM1103">
        <v>25</v>
      </c>
      <c r="AN1103">
        <v>1200</v>
      </c>
      <c r="AO1103" t="s">
        <v>118</v>
      </c>
      <c r="AP1103">
        <v>-87</v>
      </c>
      <c r="AQ1103">
        <v>0</v>
      </c>
      <c r="AR1103">
        <v>-768</v>
      </c>
      <c r="AZ1103">
        <v>300</v>
      </c>
      <c r="BA1103">
        <v>1</v>
      </c>
      <c r="BB1103" t="str">
        <f t="shared" si="53"/>
        <v xml:space="preserve">N162AM  </v>
      </c>
      <c r="BC1103">
        <v>1</v>
      </c>
      <c r="BE1103">
        <v>0</v>
      </c>
      <c r="BF1103">
        <v>0</v>
      </c>
      <c r="BG1103">
        <v>0</v>
      </c>
      <c r="BH1103">
        <v>1450</v>
      </c>
      <c r="BI1103">
        <v>1</v>
      </c>
      <c r="BJ1103">
        <v>1</v>
      </c>
      <c r="BK1103">
        <v>1</v>
      </c>
      <c r="BL1103">
        <v>0</v>
      </c>
      <c r="BO1103">
        <v>0</v>
      </c>
      <c r="BP1103">
        <v>0</v>
      </c>
      <c r="BW1103" t="str">
        <f>"14:47:30.361"</f>
        <v>14:47:30.361</v>
      </c>
      <c r="CJ1103">
        <v>3</v>
      </c>
      <c r="CK1103">
        <v>2</v>
      </c>
      <c r="CL1103">
        <v>0</v>
      </c>
      <c r="CM1103">
        <v>2</v>
      </c>
      <c r="CN1103">
        <v>0</v>
      </c>
      <c r="CO1103">
        <v>7</v>
      </c>
      <c r="CP1103" t="s">
        <v>119</v>
      </c>
      <c r="CQ1103">
        <v>232</v>
      </c>
      <c r="CR1103">
        <v>1</v>
      </c>
      <c r="CW1103">
        <v>15273415</v>
      </c>
      <c r="CY1103">
        <v>1</v>
      </c>
      <c r="CZ1103">
        <v>0</v>
      </c>
      <c r="DA1103">
        <v>1</v>
      </c>
      <c r="DB1103">
        <v>0</v>
      </c>
      <c r="DC1103">
        <v>0</v>
      </c>
      <c r="DD1103">
        <v>1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"12/16/2021 14:47:30.633"</f>
        <v>12/16/2021 14:47:30.633</v>
      </c>
      <c r="C1104" t="str">
        <f t="shared" si="52"/>
        <v>FFDFD3C0</v>
      </c>
      <c r="D1104" t="s">
        <v>124</v>
      </c>
      <c r="E1104">
        <v>10</v>
      </c>
      <c r="F1104">
        <v>1010</v>
      </c>
      <c r="G1104" t="s">
        <v>130</v>
      </c>
      <c r="J1104" t="s">
        <v>125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"14:47:30.359"</f>
        <v>14:47:30.359</v>
      </c>
      <c r="T1104" t="str">
        <f>"14:47:29.959"</f>
        <v>14:47:29.959</v>
      </c>
      <c r="U1104" t="str">
        <f t="shared" si="51"/>
        <v>A0F928</v>
      </c>
      <c r="V1104">
        <v>0</v>
      </c>
      <c r="W1104">
        <v>0</v>
      </c>
      <c r="X1104">
        <v>2</v>
      </c>
      <c r="Z1104">
        <v>0</v>
      </c>
      <c r="AA1104">
        <v>9</v>
      </c>
      <c r="AB1104">
        <v>3</v>
      </c>
      <c r="AC1104">
        <v>0</v>
      </c>
      <c r="AD1104">
        <v>10</v>
      </c>
      <c r="AE1104">
        <v>0</v>
      </c>
      <c r="AF1104">
        <v>0</v>
      </c>
      <c r="AG1104">
        <v>2</v>
      </c>
      <c r="AH1104">
        <v>1</v>
      </c>
      <c r="AI1104" t="s">
        <v>638</v>
      </c>
      <c r="AJ1104">
        <v>35.840020000000003</v>
      </c>
      <c r="AK1104" t="s">
        <v>521</v>
      </c>
      <c r="AL1104">
        <v>-83.954666000000003</v>
      </c>
      <c r="AM1104">
        <v>25</v>
      </c>
      <c r="AN1104">
        <v>1200</v>
      </c>
      <c r="AO1104" t="s">
        <v>118</v>
      </c>
      <c r="AP1104">
        <v>-87</v>
      </c>
      <c r="AQ1104">
        <v>0</v>
      </c>
      <c r="AR1104">
        <v>-768</v>
      </c>
      <c r="AZ1104">
        <v>300</v>
      </c>
      <c r="BA1104">
        <v>1</v>
      </c>
      <c r="BB1104" t="str">
        <f t="shared" si="53"/>
        <v xml:space="preserve">N162AM  </v>
      </c>
      <c r="BC1104">
        <v>1</v>
      </c>
      <c r="BE1104">
        <v>0</v>
      </c>
      <c r="BF1104">
        <v>0</v>
      </c>
      <c r="BG1104">
        <v>0</v>
      </c>
      <c r="BH1104">
        <v>1450</v>
      </c>
      <c r="BI1104">
        <v>1</v>
      </c>
      <c r="BJ1104">
        <v>1</v>
      </c>
      <c r="BK1104">
        <v>1</v>
      </c>
      <c r="BL1104">
        <v>0</v>
      </c>
      <c r="BO1104">
        <v>0</v>
      </c>
      <c r="BP1104">
        <v>0</v>
      </c>
      <c r="BW1104" t="str">
        <f>"14:47:30.361"</f>
        <v>14:47:30.361</v>
      </c>
      <c r="CJ1104">
        <v>2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119</v>
      </c>
      <c r="CQ1104">
        <v>232</v>
      </c>
      <c r="CR1104">
        <v>1</v>
      </c>
      <c r="CW1104">
        <v>15273415</v>
      </c>
      <c r="CY1104">
        <v>1</v>
      </c>
      <c r="CZ1104">
        <v>0</v>
      </c>
      <c r="DA1104">
        <v>1</v>
      </c>
      <c r="DB1104">
        <v>0</v>
      </c>
      <c r="DC1104">
        <v>0</v>
      </c>
      <c r="DD1104">
        <v>1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"12/16/2021 14:47:32.055"</f>
        <v>12/16/2021 14:47:32.055</v>
      </c>
      <c r="C1105" t="str">
        <f t="shared" si="52"/>
        <v>FFDFD3C0</v>
      </c>
      <c r="D1105" t="s">
        <v>133</v>
      </c>
      <c r="E1105">
        <v>44</v>
      </c>
      <c r="H1105">
        <v>131</v>
      </c>
      <c r="I1105" t="s">
        <v>134</v>
      </c>
      <c r="J1105" t="s">
        <v>135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"14:47:31.820"</f>
        <v>14:47:31.820</v>
      </c>
      <c r="T1105" t="str">
        <f>"14:47:31.320"</f>
        <v>14:47:31.320</v>
      </c>
      <c r="U1105" t="str">
        <f t="shared" si="51"/>
        <v>A0F928</v>
      </c>
      <c r="V1105">
        <v>0</v>
      </c>
      <c r="W1105">
        <v>0</v>
      </c>
      <c r="X1105">
        <v>2</v>
      </c>
      <c r="Z1105">
        <v>0</v>
      </c>
      <c r="AA1105">
        <v>9</v>
      </c>
      <c r="AB1105">
        <v>3</v>
      </c>
      <c r="AC1105">
        <v>0</v>
      </c>
      <c r="AD1105">
        <v>10</v>
      </c>
      <c r="AE1105">
        <v>0</v>
      </c>
      <c r="AF1105">
        <v>3</v>
      </c>
      <c r="AG1105">
        <v>2</v>
      </c>
      <c r="AH1105">
        <v>1</v>
      </c>
      <c r="AI1105" t="s">
        <v>636</v>
      </c>
      <c r="AJ1105">
        <v>35.839956000000001</v>
      </c>
      <c r="AK1105" t="s">
        <v>639</v>
      </c>
      <c r="AL1105">
        <v>-83.955352000000005</v>
      </c>
      <c r="AM1105">
        <v>25</v>
      </c>
      <c r="AN1105">
        <v>1175</v>
      </c>
      <c r="AO1105" t="s">
        <v>118</v>
      </c>
      <c r="AP1105">
        <v>-87</v>
      </c>
      <c r="AQ1105">
        <v>-11</v>
      </c>
      <c r="AR1105">
        <v>-768</v>
      </c>
      <c r="AZ1105">
        <v>300</v>
      </c>
      <c r="BA1105">
        <v>1</v>
      </c>
      <c r="BB1105" t="str">
        <f t="shared" si="53"/>
        <v xml:space="preserve">N162AM  </v>
      </c>
      <c r="BC1105">
        <v>1</v>
      </c>
      <c r="BE1105">
        <v>0</v>
      </c>
      <c r="BF1105">
        <v>0</v>
      </c>
      <c r="BG1105">
        <v>0</v>
      </c>
      <c r="BH1105">
        <v>1425</v>
      </c>
      <c r="BI1105">
        <v>1</v>
      </c>
      <c r="BJ1105">
        <v>1</v>
      </c>
      <c r="BK1105">
        <v>1</v>
      </c>
      <c r="BL1105">
        <v>0</v>
      </c>
      <c r="BO1105">
        <v>0</v>
      </c>
      <c r="BP1105">
        <v>0</v>
      </c>
      <c r="BW1105" t="str">
        <f>"14:47:31.821"</f>
        <v>14:47:31.821</v>
      </c>
      <c r="CJ1105">
        <v>3</v>
      </c>
      <c r="CK1105">
        <v>2</v>
      </c>
      <c r="CL1105">
        <v>0</v>
      </c>
      <c r="CM1105">
        <v>2</v>
      </c>
      <c r="CN1105">
        <v>0</v>
      </c>
      <c r="CO1105">
        <v>7</v>
      </c>
      <c r="CP1105" t="s">
        <v>119</v>
      </c>
      <c r="CQ1105">
        <v>232</v>
      </c>
      <c r="CR1105">
        <v>2</v>
      </c>
      <c r="CW1105">
        <v>6468843</v>
      </c>
      <c r="CY1105">
        <v>1</v>
      </c>
      <c r="CZ1105">
        <v>0</v>
      </c>
      <c r="DA1105">
        <v>0</v>
      </c>
      <c r="DB1105">
        <v>0</v>
      </c>
      <c r="DC1105">
        <v>0</v>
      </c>
      <c r="DD1105">
        <v>1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"12/16/2021 14:47:32.055"</f>
        <v>12/16/2021 14:47:32.055</v>
      </c>
      <c r="C1106" t="str">
        <f t="shared" si="52"/>
        <v>FFDFD3C0</v>
      </c>
      <c r="D1106" t="s">
        <v>124</v>
      </c>
      <c r="E1106">
        <v>5</v>
      </c>
      <c r="F1106">
        <v>1005</v>
      </c>
      <c r="G1106" t="s">
        <v>114</v>
      </c>
      <c r="J1106" t="s">
        <v>125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"14:47:31.820"</f>
        <v>14:47:31.820</v>
      </c>
      <c r="T1106" t="str">
        <f>"14:47:31.320"</f>
        <v>14:47:31.320</v>
      </c>
      <c r="U1106" t="str">
        <f t="shared" si="51"/>
        <v>A0F928</v>
      </c>
      <c r="V1106">
        <v>0</v>
      </c>
      <c r="W1106">
        <v>0</v>
      </c>
      <c r="X1106">
        <v>2</v>
      </c>
      <c r="Z1106">
        <v>0</v>
      </c>
      <c r="AA1106">
        <v>9</v>
      </c>
      <c r="AB1106">
        <v>3</v>
      </c>
      <c r="AC1106">
        <v>0</v>
      </c>
      <c r="AD1106">
        <v>10</v>
      </c>
      <c r="AE1106">
        <v>0</v>
      </c>
      <c r="AF1106">
        <v>3</v>
      </c>
      <c r="AG1106">
        <v>2</v>
      </c>
      <c r="AH1106">
        <v>1</v>
      </c>
      <c r="AI1106" t="s">
        <v>636</v>
      </c>
      <c r="AJ1106">
        <v>35.839956000000001</v>
      </c>
      <c r="AK1106" t="s">
        <v>639</v>
      </c>
      <c r="AL1106">
        <v>-83.955352000000005</v>
      </c>
      <c r="AM1106">
        <v>25</v>
      </c>
      <c r="AN1106">
        <v>1175</v>
      </c>
      <c r="AO1106" t="s">
        <v>118</v>
      </c>
      <c r="AP1106">
        <v>-87</v>
      </c>
      <c r="AQ1106">
        <v>-11</v>
      </c>
      <c r="AR1106">
        <v>-768</v>
      </c>
      <c r="AZ1106">
        <v>300</v>
      </c>
      <c r="BA1106">
        <v>1</v>
      </c>
      <c r="BB1106" t="str">
        <f t="shared" si="53"/>
        <v xml:space="preserve">N162AM  </v>
      </c>
      <c r="BC1106">
        <v>1</v>
      </c>
      <c r="BE1106">
        <v>0</v>
      </c>
      <c r="BF1106">
        <v>0</v>
      </c>
      <c r="BG1106">
        <v>0</v>
      </c>
      <c r="BH1106">
        <v>1425</v>
      </c>
      <c r="BI1106">
        <v>1</v>
      </c>
      <c r="BJ1106">
        <v>1</v>
      </c>
      <c r="BK1106">
        <v>1</v>
      </c>
      <c r="BL1106">
        <v>0</v>
      </c>
      <c r="BO1106">
        <v>0</v>
      </c>
      <c r="BP1106">
        <v>0</v>
      </c>
      <c r="BW1106" t="str">
        <f>"14:47:31.821"</f>
        <v>14:47:31.821</v>
      </c>
      <c r="CJ1106">
        <v>3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119</v>
      </c>
      <c r="CQ1106">
        <v>232</v>
      </c>
      <c r="CR1106">
        <v>2</v>
      </c>
      <c r="CW1106">
        <v>6468843</v>
      </c>
      <c r="CY1106">
        <v>1</v>
      </c>
      <c r="CZ1106">
        <v>0</v>
      </c>
      <c r="DA1106">
        <v>1</v>
      </c>
      <c r="DB1106">
        <v>0</v>
      </c>
      <c r="DC1106">
        <v>0</v>
      </c>
      <c r="DD1106">
        <v>1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"12/16/2021 14:47:32.070"</f>
        <v>12/16/2021 14:47:32.070</v>
      </c>
      <c r="C1107" t="str">
        <f t="shared" si="52"/>
        <v>FFDFD3C0</v>
      </c>
      <c r="D1107" t="s">
        <v>124</v>
      </c>
      <c r="E1107">
        <v>10</v>
      </c>
      <c r="F1107">
        <v>1010</v>
      </c>
      <c r="G1107" t="s">
        <v>130</v>
      </c>
      <c r="J1107" t="s">
        <v>125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"14:47:31.820"</f>
        <v>14:47:31.820</v>
      </c>
      <c r="T1107" t="str">
        <f>"14:47:31.320"</f>
        <v>14:47:31.320</v>
      </c>
      <c r="U1107" t="str">
        <f t="shared" si="51"/>
        <v>A0F928</v>
      </c>
      <c r="V1107">
        <v>0</v>
      </c>
      <c r="W1107">
        <v>0</v>
      </c>
      <c r="X1107">
        <v>2</v>
      </c>
      <c r="Z1107">
        <v>0</v>
      </c>
      <c r="AA1107">
        <v>9</v>
      </c>
      <c r="AB1107">
        <v>3</v>
      </c>
      <c r="AC1107">
        <v>0</v>
      </c>
      <c r="AD1107">
        <v>10</v>
      </c>
      <c r="AE1107">
        <v>0</v>
      </c>
      <c r="AF1107">
        <v>0</v>
      </c>
      <c r="AG1107">
        <v>2</v>
      </c>
      <c r="AH1107">
        <v>1</v>
      </c>
      <c r="AI1107" t="s">
        <v>636</v>
      </c>
      <c r="AJ1107">
        <v>35.839956000000001</v>
      </c>
      <c r="AK1107" t="s">
        <v>639</v>
      </c>
      <c r="AL1107">
        <v>-83.955352000000005</v>
      </c>
      <c r="AM1107">
        <v>25</v>
      </c>
      <c r="AN1107">
        <v>1175</v>
      </c>
      <c r="AO1107" t="s">
        <v>118</v>
      </c>
      <c r="AP1107">
        <v>-87</v>
      </c>
      <c r="AQ1107">
        <v>-11</v>
      </c>
      <c r="AR1107">
        <v>-768</v>
      </c>
      <c r="AZ1107">
        <v>300</v>
      </c>
      <c r="BA1107">
        <v>1</v>
      </c>
      <c r="BB1107" t="str">
        <f t="shared" si="53"/>
        <v xml:space="preserve">N162AM  </v>
      </c>
      <c r="BC1107">
        <v>1</v>
      </c>
      <c r="BE1107">
        <v>0</v>
      </c>
      <c r="BF1107">
        <v>0</v>
      </c>
      <c r="BG1107">
        <v>0</v>
      </c>
      <c r="BH1107">
        <v>1425</v>
      </c>
      <c r="BI1107">
        <v>1</v>
      </c>
      <c r="BJ1107">
        <v>1</v>
      </c>
      <c r="BK1107">
        <v>1</v>
      </c>
      <c r="BL1107">
        <v>0</v>
      </c>
      <c r="BO1107">
        <v>0</v>
      </c>
      <c r="BP1107">
        <v>0</v>
      </c>
      <c r="BW1107" t="str">
        <f>"14:47:31.821"</f>
        <v>14:47:31.821</v>
      </c>
      <c r="CJ1107">
        <v>2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232</v>
      </c>
      <c r="CR1107">
        <v>2</v>
      </c>
      <c r="CW1107">
        <v>6468843</v>
      </c>
      <c r="CY1107">
        <v>1</v>
      </c>
      <c r="CZ1107">
        <v>0</v>
      </c>
      <c r="DA1107">
        <v>1</v>
      </c>
      <c r="DB1107">
        <v>0</v>
      </c>
      <c r="DC1107">
        <v>0</v>
      </c>
      <c r="DD1107">
        <v>1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"12/16/2021 14:47:32.086"</f>
        <v>12/16/2021 14:47:32.086</v>
      </c>
      <c r="C1108" t="str">
        <f t="shared" si="52"/>
        <v>FFDFD3C0</v>
      </c>
      <c r="D1108" t="s">
        <v>113</v>
      </c>
      <c r="E1108">
        <v>8</v>
      </c>
      <c r="H1108">
        <v>176</v>
      </c>
      <c r="I1108" t="s">
        <v>114</v>
      </c>
      <c r="J1108" t="s">
        <v>115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"14:47:31.820"</f>
        <v>14:47:31.820</v>
      </c>
      <c r="T1108" t="str">
        <f>"14:47:31.320"</f>
        <v>14:47:31.320</v>
      </c>
      <c r="U1108" t="str">
        <f t="shared" si="51"/>
        <v>A0F928</v>
      </c>
      <c r="V1108">
        <v>0</v>
      </c>
      <c r="W1108">
        <v>0</v>
      </c>
      <c r="X1108">
        <v>2</v>
      </c>
      <c r="Z1108">
        <v>0</v>
      </c>
      <c r="AA1108">
        <v>9</v>
      </c>
      <c r="AB1108">
        <v>3</v>
      </c>
      <c r="AC1108">
        <v>0</v>
      </c>
      <c r="AD1108">
        <v>10</v>
      </c>
      <c r="AE1108">
        <v>0</v>
      </c>
      <c r="AF1108">
        <v>3</v>
      </c>
      <c r="AG1108">
        <v>2</v>
      </c>
      <c r="AH1108">
        <v>1</v>
      </c>
      <c r="AI1108" t="s">
        <v>636</v>
      </c>
      <c r="AJ1108">
        <v>35.839956000000001</v>
      </c>
      <c r="AK1108" t="s">
        <v>639</v>
      </c>
      <c r="AL1108">
        <v>-83.955352000000005</v>
      </c>
      <c r="AM1108">
        <v>25</v>
      </c>
      <c r="AN1108">
        <v>1175</v>
      </c>
      <c r="AO1108" t="s">
        <v>118</v>
      </c>
      <c r="AP1108">
        <v>-87</v>
      </c>
      <c r="AQ1108">
        <v>-11</v>
      </c>
      <c r="AR1108">
        <v>-768</v>
      </c>
      <c r="AZ1108">
        <v>300</v>
      </c>
      <c r="BA1108">
        <v>1</v>
      </c>
      <c r="BB1108" t="str">
        <f t="shared" si="53"/>
        <v xml:space="preserve">N162AM  </v>
      </c>
      <c r="BC1108">
        <v>1</v>
      </c>
      <c r="BE1108">
        <v>0</v>
      </c>
      <c r="BF1108">
        <v>0</v>
      </c>
      <c r="BG1108">
        <v>0</v>
      </c>
      <c r="BH1108">
        <v>1425</v>
      </c>
      <c r="BI1108">
        <v>1</v>
      </c>
      <c r="BJ1108">
        <v>1</v>
      </c>
      <c r="BK1108">
        <v>1</v>
      </c>
      <c r="BL1108">
        <v>0</v>
      </c>
      <c r="BO1108">
        <v>0</v>
      </c>
      <c r="BP1108">
        <v>0</v>
      </c>
      <c r="BW1108" t="str">
        <f>"14:47:31.821"</f>
        <v>14:47:31.821</v>
      </c>
      <c r="CJ1108">
        <v>3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232</v>
      </c>
      <c r="CR1108">
        <v>2</v>
      </c>
      <c r="CW1108">
        <v>6468843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1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"12/16/2021 14:47:33.336"</f>
        <v>12/16/2021 14:47:33.336</v>
      </c>
      <c r="C1109" t="str">
        <f t="shared" si="52"/>
        <v>FFDFD3C0</v>
      </c>
      <c r="D1109" t="s">
        <v>124</v>
      </c>
      <c r="E1109">
        <v>5</v>
      </c>
      <c r="F1109">
        <v>1005</v>
      </c>
      <c r="G1109" t="s">
        <v>114</v>
      </c>
      <c r="J1109" t="s">
        <v>125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"14:47:33.117"</f>
        <v>14:47:33.117</v>
      </c>
      <c r="T1109" t="str">
        <f>"14:47:32.717"</f>
        <v>14:47:32.717</v>
      </c>
      <c r="U1109" t="str">
        <f t="shared" si="51"/>
        <v>A0F928</v>
      </c>
      <c r="V1109">
        <v>0</v>
      </c>
      <c r="W1109">
        <v>0</v>
      </c>
      <c r="X1109">
        <v>2</v>
      </c>
      <c r="Z1109">
        <v>0</v>
      </c>
      <c r="AA1109">
        <v>9</v>
      </c>
      <c r="AB1109">
        <v>3</v>
      </c>
      <c r="AC1109">
        <v>0</v>
      </c>
      <c r="AD1109">
        <v>10</v>
      </c>
      <c r="AE1109">
        <v>0</v>
      </c>
      <c r="AF1109">
        <v>3</v>
      </c>
      <c r="AG1109">
        <v>2</v>
      </c>
      <c r="AH1109">
        <v>1</v>
      </c>
      <c r="AI1109" t="s">
        <v>640</v>
      </c>
      <c r="AJ1109">
        <v>35.839827</v>
      </c>
      <c r="AK1109" t="s">
        <v>641</v>
      </c>
      <c r="AL1109">
        <v>-83.955995999999999</v>
      </c>
      <c r="AM1109">
        <v>25</v>
      </c>
      <c r="AN1109">
        <v>1175</v>
      </c>
      <c r="AO1109" t="s">
        <v>118</v>
      </c>
      <c r="AP1109">
        <v>-86</v>
      </c>
      <c r="AQ1109">
        <v>-22</v>
      </c>
      <c r="AR1109">
        <v>-704</v>
      </c>
      <c r="AZ1109">
        <v>300</v>
      </c>
      <c r="BA1109">
        <v>1</v>
      </c>
      <c r="BB1109" t="str">
        <f t="shared" si="53"/>
        <v xml:space="preserve">N162AM  </v>
      </c>
      <c r="BC1109">
        <v>1</v>
      </c>
      <c r="BE1109">
        <v>0</v>
      </c>
      <c r="BF1109">
        <v>0</v>
      </c>
      <c r="BG1109">
        <v>0</v>
      </c>
      <c r="BH1109">
        <v>1425</v>
      </c>
      <c r="BI1109">
        <v>1</v>
      </c>
      <c r="BJ1109">
        <v>1</v>
      </c>
      <c r="BK1109">
        <v>1</v>
      </c>
      <c r="BL1109">
        <v>0</v>
      </c>
      <c r="BO1109">
        <v>0</v>
      </c>
      <c r="BP1109">
        <v>0</v>
      </c>
      <c r="BW1109" t="str">
        <f>"14:47:33.122"</f>
        <v>14:47:33.122</v>
      </c>
      <c r="CJ1109">
        <v>3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232</v>
      </c>
      <c r="CR1109">
        <v>1</v>
      </c>
      <c r="CW1109">
        <v>15277503</v>
      </c>
      <c r="CY1109">
        <v>1</v>
      </c>
      <c r="CZ1109">
        <v>0</v>
      </c>
      <c r="DA1109">
        <v>0</v>
      </c>
      <c r="DB1109">
        <v>0</v>
      </c>
      <c r="DC1109">
        <v>0</v>
      </c>
      <c r="DD1109">
        <v>1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"12/16/2021 14:47:33.336"</f>
        <v>12/16/2021 14:47:33.336</v>
      </c>
      <c r="C1110" t="str">
        <f t="shared" si="52"/>
        <v>FFDFD3C0</v>
      </c>
      <c r="D1110" t="s">
        <v>124</v>
      </c>
      <c r="E1110">
        <v>10</v>
      </c>
      <c r="F1110">
        <v>1010</v>
      </c>
      <c r="G1110" t="s">
        <v>130</v>
      </c>
      <c r="J1110" t="s">
        <v>125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"14:47:33.117"</f>
        <v>14:47:33.117</v>
      </c>
      <c r="T1110" t="str">
        <f>"14:47:32.717"</f>
        <v>14:47:32.717</v>
      </c>
      <c r="U1110" t="str">
        <f t="shared" si="51"/>
        <v>A0F928</v>
      </c>
      <c r="V1110">
        <v>0</v>
      </c>
      <c r="W1110">
        <v>0</v>
      </c>
      <c r="X1110">
        <v>2</v>
      </c>
      <c r="Z1110">
        <v>0</v>
      </c>
      <c r="AA1110">
        <v>9</v>
      </c>
      <c r="AB1110">
        <v>3</v>
      </c>
      <c r="AC1110">
        <v>0</v>
      </c>
      <c r="AD1110">
        <v>10</v>
      </c>
      <c r="AE1110">
        <v>0</v>
      </c>
      <c r="AF1110">
        <v>0</v>
      </c>
      <c r="AG1110">
        <v>2</v>
      </c>
      <c r="AH1110">
        <v>1</v>
      </c>
      <c r="AI1110" t="s">
        <v>640</v>
      </c>
      <c r="AJ1110">
        <v>35.839827</v>
      </c>
      <c r="AK1110" t="s">
        <v>641</v>
      </c>
      <c r="AL1110">
        <v>-83.955995999999999</v>
      </c>
      <c r="AM1110">
        <v>25</v>
      </c>
      <c r="AN1110">
        <v>1175</v>
      </c>
      <c r="AO1110" t="s">
        <v>118</v>
      </c>
      <c r="AP1110">
        <v>-86</v>
      </c>
      <c r="AQ1110">
        <v>-22</v>
      </c>
      <c r="AR1110">
        <v>-704</v>
      </c>
      <c r="AZ1110">
        <v>300</v>
      </c>
      <c r="BA1110">
        <v>1</v>
      </c>
      <c r="BB1110" t="str">
        <f t="shared" si="53"/>
        <v xml:space="preserve">N162AM  </v>
      </c>
      <c r="BC1110">
        <v>1</v>
      </c>
      <c r="BE1110">
        <v>0</v>
      </c>
      <c r="BF1110">
        <v>0</v>
      </c>
      <c r="BG1110">
        <v>0</v>
      </c>
      <c r="BH1110">
        <v>1425</v>
      </c>
      <c r="BI1110">
        <v>1</v>
      </c>
      <c r="BJ1110">
        <v>1</v>
      </c>
      <c r="BK1110">
        <v>1</v>
      </c>
      <c r="BL1110">
        <v>0</v>
      </c>
      <c r="BO1110">
        <v>0</v>
      </c>
      <c r="BP1110">
        <v>0</v>
      </c>
      <c r="BW1110" t="str">
        <f>"14:47:33.122"</f>
        <v>14:47:33.122</v>
      </c>
      <c r="CJ1110">
        <v>2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119</v>
      </c>
      <c r="CQ1110">
        <v>232</v>
      </c>
      <c r="CR1110">
        <v>1</v>
      </c>
      <c r="CW1110">
        <v>15277503</v>
      </c>
      <c r="CY1110">
        <v>1</v>
      </c>
      <c r="CZ1110">
        <v>0</v>
      </c>
      <c r="DA1110">
        <v>1</v>
      </c>
      <c r="DB1110">
        <v>0</v>
      </c>
      <c r="DC1110">
        <v>0</v>
      </c>
      <c r="DD1110">
        <v>1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"12/16/2021 14:47:33.336"</f>
        <v>12/16/2021 14:47:33.336</v>
      </c>
      <c r="C1111" t="str">
        <f t="shared" si="52"/>
        <v>FFDFD3C0</v>
      </c>
      <c r="D1111" t="s">
        <v>113</v>
      </c>
      <c r="E1111">
        <v>8</v>
      </c>
      <c r="H1111">
        <v>176</v>
      </c>
      <c r="I1111" t="s">
        <v>114</v>
      </c>
      <c r="J1111" t="s">
        <v>115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"14:47:33.117"</f>
        <v>14:47:33.117</v>
      </c>
      <c r="T1111" t="str">
        <f>"14:47:32.717"</f>
        <v>14:47:32.717</v>
      </c>
      <c r="U1111" t="str">
        <f t="shared" si="51"/>
        <v>A0F928</v>
      </c>
      <c r="V1111">
        <v>0</v>
      </c>
      <c r="W1111">
        <v>0</v>
      </c>
      <c r="X1111">
        <v>2</v>
      </c>
      <c r="Z1111">
        <v>0</v>
      </c>
      <c r="AA1111">
        <v>9</v>
      </c>
      <c r="AB1111">
        <v>3</v>
      </c>
      <c r="AC1111">
        <v>0</v>
      </c>
      <c r="AD1111">
        <v>10</v>
      </c>
      <c r="AE1111">
        <v>0</v>
      </c>
      <c r="AF1111">
        <v>3</v>
      </c>
      <c r="AG1111">
        <v>2</v>
      </c>
      <c r="AH1111">
        <v>1</v>
      </c>
      <c r="AI1111" t="s">
        <v>640</v>
      </c>
      <c r="AJ1111">
        <v>35.839827</v>
      </c>
      <c r="AK1111" t="s">
        <v>641</v>
      </c>
      <c r="AL1111">
        <v>-83.955995999999999</v>
      </c>
      <c r="AM1111">
        <v>25</v>
      </c>
      <c r="AN1111">
        <v>1175</v>
      </c>
      <c r="AO1111" t="s">
        <v>118</v>
      </c>
      <c r="AP1111">
        <v>-86</v>
      </c>
      <c r="AQ1111">
        <v>-22</v>
      </c>
      <c r="AR1111">
        <v>-704</v>
      </c>
      <c r="AZ1111">
        <v>300</v>
      </c>
      <c r="BA1111">
        <v>1</v>
      </c>
      <c r="BB1111" t="str">
        <f t="shared" si="53"/>
        <v xml:space="preserve">N162AM  </v>
      </c>
      <c r="BC1111">
        <v>1</v>
      </c>
      <c r="BE1111">
        <v>0</v>
      </c>
      <c r="BF1111">
        <v>0</v>
      </c>
      <c r="BG1111">
        <v>0</v>
      </c>
      <c r="BH1111">
        <v>1425</v>
      </c>
      <c r="BI1111">
        <v>1</v>
      </c>
      <c r="BJ1111">
        <v>1</v>
      </c>
      <c r="BK1111">
        <v>1</v>
      </c>
      <c r="BL1111">
        <v>0</v>
      </c>
      <c r="BO1111">
        <v>0</v>
      </c>
      <c r="BP1111">
        <v>0</v>
      </c>
      <c r="BW1111" t="str">
        <f>"14:47:33.122"</f>
        <v>14:47:33.122</v>
      </c>
      <c r="CJ1111">
        <v>3</v>
      </c>
      <c r="CK1111">
        <v>2</v>
      </c>
      <c r="CL1111">
        <v>0</v>
      </c>
      <c r="CM1111">
        <v>2</v>
      </c>
      <c r="CN1111">
        <v>0</v>
      </c>
      <c r="CO1111">
        <v>7</v>
      </c>
      <c r="CP1111" t="s">
        <v>119</v>
      </c>
      <c r="CQ1111">
        <v>232</v>
      </c>
      <c r="CR1111">
        <v>1</v>
      </c>
      <c r="CW1111">
        <v>15277503</v>
      </c>
      <c r="CY1111">
        <v>1</v>
      </c>
      <c r="CZ1111">
        <v>0</v>
      </c>
      <c r="DA1111">
        <v>1</v>
      </c>
      <c r="DB1111">
        <v>0</v>
      </c>
      <c r="DC1111">
        <v>0</v>
      </c>
      <c r="DD1111">
        <v>1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"12/16/2021 14:47:33.367"</f>
        <v>12/16/2021 14:47:33.367</v>
      </c>
      <c r="C1112" t="str">
        <f t="shared" si="52"/>
        <v>FFDFD3C0</v>
      </c>
      <c r="D1112" t="s">
        <v>133</v>
      </c>
      <c r="E1112">
        <v>44</v>
      </c>
      <c r="H1112">
        <v>131</v>
      </c>
      <c r="I1112" t="s">
        <v>134</v>
      </c>
      <c r="J1112" t="s">
        <v>135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"14:47:33.117"</f>
        <v>14:47:33.117</v>
      </c>
      <c r="T1112" t="str">
        <f>"14:47:32.717"</f>
        <v>14:47:32.717</v>
      </c>
      <c r="U1112" t="str">
        <f t="shared" si="51"/>
        <v>A0F928</v>
      </c>
      <c r="V1112">
        <v>0</v>
      </c>
      <c r="W1112">
        <v>0</v>
      </c>
      <c r="X1112">
        <v>2</v>
      </c>
      <c r="Z1112">
        <v>0</v>
      </c>
      <c r="AA1112">
        <v>9</v>
      </c>
      <c r="AB1112">
        <v>3</v>
      </c>
      <c r="AC1112">
        <v>0</v>
      </c>
      <c r="AD1112">
        <v>10</v>
      </c>
      <c r="AE1112">
        <v>0</v>
      </c>
      <c r="AF1112">
        <v>3</v>
      </c>
      <c r="AG1112">
        <v>2</v>
      </c>
      <c r="AH1112">
        <v>1</v>
      </c>
      <c r="AI1112" t="s">
        <v>640</v>
      </c>
      <c r="AJ1112">
        <v>35.839827</v>
      </c>
      <c r="AK1112" t="s">
        <v>641</v>
      </c>
      <c r="AL1112">
        <v>-83.955995999999999</v>
      </c>
      <c r="AM1112">
        <v>25</v>
      </c>
      <c r="AN1112">
        <v>1175</v>
      </c>
      <c r="AO1112" t="s">
        <v>118</v>
      </c>
      <c r="AP1112">
        <v>-86</v>
      </c>
      <c r="AQ1112">
        <v>-22</v>
      </c>
      <c r="AR1112">
        <v>-704</v>
      </c>
      <c r="AZ1112">
        <v>300</v>
      </c>
      <c r="BA1112">
        <v>1</v>
      </c>
      <c r="BB1112" t="str">
        <f t="shared" si="53"/>
        <v xml:space="preserve">N162AM  </v>
      </c>
      <c r="BC1112">
        <v>1</v>
      </c>
      <c r="BE1112">
        <v>0</v>
      </c>
      <c r="BF1112">
        <v>0</v>
      </c>
      <c r="BG1112">
        <v>0</v>
      </c>
      <c r="BH1112">
        <v>1425</v>
      </c>
      <c r="BI1112">
        <v>1</v>
      </c>
      <c r="BJ1112">
        <v>1</v>
      </c>
      <c r="BK1112">
        <v>1</v>
      </c>
      <c r="BL1112">
        <v>0</v>
      </c>
      <c r="BO1112">
        <v>0</v>
      </c>
      <c r="BP1112">
        <v>0</v>
      </c>
      <c r="BW1112" t="str">
        <f>"14:47:33.122"</f>
        <v>14:47:33.122</v>
      </c>
      <c r="CJ1112">
        <v>3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119</v>
      </c>
      <c r="CQ1112">
        <v>232</v>
      </c>
      <c r="CR1112">
        <v>1</v>
      </c>
      <c r="CW1112">
        <v>15277503</v>
      </c>
      <c r="CY1112">
        <v>1</v>
      </c>
      <c r="CZ1112">
        <v>0</v>
      </c>
      <c r="DA1112">
        <v>1</v>
      </c>
      <c r="DB1112">
        <v>0</v>
      </c>
      <c r="DC1112">
        <v>0</v>
      </c>
      <c r="DD1112">
        <v>1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"12/16/2021 14:47:34.415"</f>
        <v>12/16/2021 14:47:34.415</v>
      </c>
      <c r="C1113" t="str">
        <f t="shared" si="52"/>
        <v>FFDFD3C0</v>
      </c>
      <c r="D1113" t="s">
        <v>133</v>
      </c>
      <c r="E1113">
        <v>44</v>
      </c>
      <c r="H1113">
        <v>131</v>
      </c>
      <c r="I1113" t="s">
        <v>134</v>
      </c>
      <c r="J1113" t="s">
        <v>135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"14:47:34.148"</f>
        <v>14:47:34.148</v>
      </c>
      <c r="T1113" t="str">
        <f>"14:47:33.648"</f>
        <v>14:47:33.648</v>
      </c>
      <c r="U1113" t="str">
        <f t="shared" si="51"/>
        <v>A0F928</v>
      </c>
      <c r="V1113">
        <v>0</v>
      </c>
      <c r="W1113">
        <v>0</v>
      </c>
      <c r="X1113">
        <v>2</v>
      </c>
      <c r="Z1113">
        <v>0</v>
      </c>
      <c r="AA1113">
        <v>9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2</v>
      </c>
      <c r="AH1113">
        <v>1</v>
      </c>
      <c r="AI1113" t="s">
        <v>642</v>
      </c>
      <c r="AJ1113">
        <v>35.839655</v>
      </c>
      <c r="AK1113" t="s">
        <v>643</v>
      </c>
      <c r="AL1113">
        <v>-83.956490000000002</v>
      </c>
      <c r="AM1113">
        <v>25</v>
      </c>
      <c r="AN1113">
        <v>1150</v>
      </c>
      <c r="AO1113" t="s">
        <v>118</v>
      </c>
      <c r="AP1113">
        <v>-84</v>
      </c>
      <c r="AQ1113">
        <v>-28</v>
      </c>
      <c r="AR1113">
        <v>-640</v>
      </c>
      <c r="AZ1113">
        <v>300</v>
      </c>
      <c r="BA1113">
        <v>1</v>
      </c>
      <c r="BB1113" t="str">
        <f t="shared" si="53"/>
        <v xml:space="preserve">N162AM  </v>
      </c>
      <c r="BC1113">
        <v>1</v>
      </c>
      <c r="BE1113">
        <v>0</v>
      </c>
      <c r="BF1113">
        <v>0</v>
      </c>
      <c r="BG1113">
        <v>0</v>
      </c>
      <c r="BH1113">
        <v>1425</v>
      </c>
      <c r="BI1113">
        <v>1</v>
      </c>
      <c r="BJ1113">
        <v>1</v>
      </c>
      <c r="BK1113">
        <v>1</v>
      </c>
      <c r="BL1113">
        <v>0</v>
      </c>
      <c r="BO1113">
        <v>0</v>
      </c>
      <c r="BP1113">
        <v>0</v>
      </c>
      <c r="BW1113" t="str">
        <f>"14:47:34.152"</f>
        <v>14:47:34.152</v>
      </c>
      <c r="CJ1113">
        <v>3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119</v>
      </c>
      <c r="CQ1113">
        <v>232</v>
      </c>
      <c r="CR1113">
        <v>1</v>
      </c>
      <c r="CW1113">
        <v>15279135</v>
      </c>
      <c r="CY1113">
        <v>1</v>
      </c>
      <c r="CZ1113">
        <v>0</v>
      </c>
      <c r="DA1113">
        <v>0</v>
      </c>
      <c r="DB1113">
        <v>0</v>
      </c>
      <c r="DC1113">
        <v>0</v>
      </c>
      <c r="DD1113">
        <v>1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"12/16/2021 14:47:34.415"</f>
        <v>12/16/2021 14:47:34.415</v>
      </c>
      <c r="C1114" t="str">
        <f t="shared" si="52"/>
        <v>FFDFD3C0</v>
      </c>
      <c r="D1114" t="s">
        <v>124</v>
      </c>
      <c r="E1114">
        <v>10</v>
      </c>
      <c r="F1114">
        <v>1010</v>
      </c>
      <c r="G1114" t="s">
        <v>130</v>
      </c>
      <c r="J1114" t="s">
        <v>125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"14:47:34.148"</f>
        <v>14:47:34.148</v>
      </c>
      <c r="T1114" t="str">
        <f>"14:47:33.648"</f>
        <v>14:47:33.648</v>
      </c>
      <c r="U1114" t="str">
        <f t="shared" si="51"/>
        <v>A0F928</v>
      </c>
      <c r="V1114">
        <v>0</v>
      </c>
      <c r="W1114">
        <v>0</v>
      </c>
      <c r="X1114">
        <v>2</v>
      </c>
      <c r="Z1114">
        <v>0</v>
      </c>
      <c r="AA1114">
        <v>9</v>
      </c>
      <c r="AB1114">
        <v>3</v>
      </c>
      <c r="AC1114">
        <v>0</v>
      </c>
      <c r="AD1114">
        <v>10</v>
      </c>
      <c r="AE1114">
        <v>0</v>
      </c>
      <c r="AF1114">
        <v>0</v>
      </c>
      <c r="AG1114">
        <v>2</v>
      </c>
      <c r="AH1114">
        <v>1</v>
      </c>
      <c r="AI1114" t="s">
        <v>642</v>
      </c>
      <c r="AJ1114">
        <v>35.839655</v>
      </c>
      <c r="AK1114" t="s">
        <v>643</v>
      </c>
      <c r="AL1114">
        <v>-83.956490000000002</v>
      </c>
      <c r="AM1114">
        <v>25</v>
      </c>
      <c r="AN1114">
        <v>1150</v>
      </c>
      <c r="AO1114" t="s">
        <v>118</v>
      </c>
      <c r="AP1114">
        <v>-84</v>
      </c>
      <c r="AQ1114">
        <v>-28</v>
      </c>
      <c r="AR1114">
        <v>-640</v>
      </c>
      <c r="AZ1114">
        <v>300</v>
      </c>
      <c r="BA1114">
        <v>1</v>
      </c>
      <c r="BB1114" t="str">
        <f t="shared" si="53"/>
        <v xml:space="preserve">N162AM  </v>
      </c>
      <c r="BC1114">
        <v>1</v>
      </c>
      <c r="BE1114">
        <v>0</v>
      </c>
      <c r="BF1114">
        <v>0</v>
      </c>
      <c r="BG1114">
        <v>0</v>
      </c>
      <c r="BH1114">
        <v>1425</v>
      </c>
      <c r="BI1114">
        <v>1</v>
      </c>
      <c r="BJ1114">
        <v>1</v>
      </c>
      <c r="BK1114">
        <v>1</v>
      </c>
      <c r="BL1114">
        <v>0</v>
      </c>
      <c r="BO1114">
        <v>0</v>
      </c>
      <c r="BP1114">
        <v>0</v>
      </c>
      <c r="BW1114" t="str">
        <f>"14:47:34.152"</f>
        <v>14:47:34.152</v>
      </c>
      <c r="CJ1114">
        <v>2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119</v>
      </c>
      <c r="CQ1114">
        <v>232</v>
      </c>
      <c r="CR1114">
        <v>1</v>
      </c>
      <c r="CW1114">
        <v>15279135</v>
      </c>
      <c r="CY1114">
        <v>1</v>
      </c>
      <c r="CZ1114">
        <v>0</v>
      </c>
      <c r="DA1114">
        <v>1</v>
      </c>
      <c r="DB1114">
        <v>0</v>
      </c>
      <c r="DC1114">
        <v>0</v>
      </c>
      <c r="DD1114">
        <v>1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>"12/16/2021 14:47:34.415"</f>
        <v>12/16/2021 14:47:34.415</v>
      </c>
      <c r="C1115" t="str">
        <f t="shared" si="52"/>
        <v>FFDFD3C0</v>
      </c>
      <c r="D1115" t="s">
        <v>124</v>
      </c>
      <c r="E1115">
        <v>5</v>
      </c>
      <c r="F1115">
        <v>1005</v>
      </c>
      <c r="G1115" t="s">
        <v>114</v>
      </c>
      <c r="J1115" t="s">
        <v>125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"14:47:34.148"</f>
        <v>14:47:34.148</v>
      </c>
      <c r="T1115" t="str">
        <f>"14:47:33.648"</f>
        <v>14:47:33.648</v>
      </c>
      <c r="U1115" t="str">
        <f t="shared" si="51"/>
        <v>A0F928</v>
      </c>
      <c r="V1115">
        <v>0</v>
      </c>
      <c r="W1115">
        <v>0</v>
      </c>
      <c r="X1115">
        <v>2</v>
      </c>
      <c r="Z1115">
        <v>0</v>
      </c>
      <c r="AA1115">
        <v>9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2</v>
      </c>
      <c r="AH1115">
        <v>1</v>
      </c>
      <c r="AI1115" t="s">
        <v>642</v>
      </c>
      <c r="AJ1115">
        <v>35.839655</v>
      </c>
      <c r="AK1115" t="s">
        <v>643</v>
      </c>
      <c r="AL1115">
        <v>-83.956490000000002</v>
      </c>
      <c r="AM1115">
        <v>25</v>
      </c>
      <c r="AN1115">
        <v>1150</v>
      </c>
      <c r="AO1115" t="s">
        <v>118</v>
      </c>
      <c r="AP1115">
        <v>-84</v>
      </c>
      <c r="AQ1115">
        <v>-28</v>
      </c>
      <c r="AR1115">
        <v>-640</v>
      </c>
      <c r="AZ1115">
        <v>300</v>
      </c>
      <c r="BA1115">
        <v>1</v>
      </c>
      <c r="BB1115" t="str">
        <f t="shared" si="53"/>
        <v xml:space="preserve">N162AM  </v>
      </c>
      <c r="BC1115">
        <v>1</v>
      </c>
      <c r="BE1115">
        <v>0</v>
      </c>
      <c r="BF1115">
        <v>0</v>
      </c>
      <c r="BG1115">
        <v>0</v>
      </c>
      <c r="BH1115">
        <v>1425</v>
      </c>
      <c r="BI1115">
        <v>1</v>
      </c>
      <c r="BJ1115">
        <v>1</v>
      </c>
      <c r="BK1115">
        <v>1</v>
      </c>
      <c r="BL1115">
        <v>0</v>
      </c>
      <c r="BO1115">
        <v>0</v>
      </c>
      <c r="BP1115">
        <v>0</v>
      </c>
      <c r="BW1115" t="str">
        <f>"14:47:34.152"</f>
        <v>14:47:34.152</v>
      </c>
      <c r="CJ1115">
        <v>3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232</v>
      </c>
      <c r="CR1115">
        <v>1</v>
      </c>
      <c r="CW1115">
        <v>15279135</v>
      </c>
      <c r="CY1115">
        <v>1</v>
      </c>
      <c r="CZ1115">
        <v>0</v>
      </c>
      <c r="DA1115">
        <v>1</v>
      </c>
      <c r="DB1115">
        <v>0</v>
      </c>
      <c r="DC1115">
        <v>0</v>
      </c>
      <c r="DD1115">
        <v>1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>"12/16/2021 14:47:34.462"</f>
        <v>12/16/2021 14:47:34.462</v>
      </c>
      <c r="C1116" t="str">
        <f t="shared" si="52"/>
        <v>FFDFD3C0</v>
      </c>
      <c r="D1116" t="s">
        <v>113</v>
      </c>
      <c r="E1116">
        <v>8</v>
      </c>
      <c r="H1116">
        <v>176</v>
      </c>
      <c r="I1116" t="s">
        <v>114</v>
      </c>
      <c r="J1116" t="s">
        <v>115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"14:47:34.148"</f>
        <v>14:47:34.148</v>
      </c>
      <c r="T1116" t="str">
        <f>"14:47:33.648"</f>
        <v>14:47:33.648</v>
      </c>
      <c r="U1116" t="str">
        <f t="shared" si="51"/>
        <v>A0F928</v>
      </c>
      <c r="V1116">
        <v>0</v>
      </c>
      <c r="W1116">
        <v>0</v>
      </c>
      <c r="X1116">
        <v>2</v>
      </c>
      <c r="Z1116">
        <v>0</v>
      </c>
      <c r="AA1116">
        <v>9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2</v>
      </c>
      <c r="AH1116">
        <v>1</v>
      </c>
      <c r="AI1116" t="s">
        <v>642</v>
      </c>
      <c r="AJ1116">
        <v>35.839655</v>
      </c>
      <c r="AK1116" t="s">
        <v>643</v>
      </c>
      <c r="AL1116">
        <v>-83.956490000000002</v>
      </c>
      <c r="AM1116">
        <v>25</v>
      </c>
      <c r="AN1116">
        <v>1150</v>
      </c>
      <c r="AO1116" t="s">
        <v>118</v>
      </c>
      <c r="AP1116">
        <v>-84</v>
      </c>
      <c r="AQ1116">
        <v>-28</v>
      </c>
      <c r="AR1116">
        <v>-640</v>
      </c>
      <c r="AZ1116">
        <v>300</v>
      </c>
      <c r="BA1116">
        <v>1</v>
      </c>
      <c r="BB1116" t="str">
        <f t="shared" si="53"/>
        <v xml:space="preserve">N162AM  </v>
      </c>
      <c r="BC1116">
        <v>1</v>
      </c>
      <c r="BE1116">
        <v>0</v>
      </c>
      <c r="BF1116">
        <v>0</v>
      </c>
      <c r="BG1116">
        <v>0</v>
      </c>
      <c r="BH1116">
        <v>1425</v>
      </c>
      <c r="BI1116">
        <v>1</v>
      </c>
      <c r="BJ1116">
        <v>1</v>
      </c>
      <c r="BK1116">
        <v>1</v>
      </c>
      <c r="BL1116">
        <v>0</v>
      </c>
      <c r="BO1116">
        <v>0</v>
      </c>
      <c r="BP1116">
        <v>0</v>
      </c>
      <c r="BW1116" t="str">
        <f>"14:47:34.152"</f>
        <v>14:47:34.152</v>
      </c>
      <c r="CJ1116">
        <v>3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119</v>
      </c>
      <c r="CQ1116">
        <v>232</v>
      </c>
      <c r="CR1116">
        <v>1</v>
      </c>
      <c r="CW1116">
        <v>15279135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1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>"12/16/2021 14:47:35.443"</f>
        <v>12/16/2021 14:47:35.443</v>
      </c>
      <c r="C1117" t="str">
        <f t="shared" si="52"/>
        <v>FFDFD3C0</v>
      </c>
      <c r="D1117" t="s">
        <v>124</v>
      </c>
      <c r="E1117">
        <v>5</v>
      </c>
      <c r="F1117">
        <v>1005</v>
      </c>
      <c r="G1117" t="s">
        <v>114</v>
      </c>
      <c r="J1117" t="s">
        <v>125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"14:47:35.234"</f>
        <v>14:47:35.234</v>
      </c>
      <c r="T1117" t="str">
        <f>"14:47:34.734"</f>
        <v>14:47:34.734</v>
      </c>
      <c r="U1117" t="str">
        <f t="shared" si="51"/>
        <v>A0F928</v>
      </c>
      <c r="V1117">
        <v>0</v>
      </c>
      <c r="W1117">
        <v>0</v>
      </c>
      <c r="X1117">
        <v>2</v>
      </c>
      <c r="Z1117">
        <v>0</v>
      </c>
      <c r="AA1117">
        <v>9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2</v>
      </c>
      <c r="AH1117">
        <v>1</v>
      </c>
      <c r="AI1117" t="s">
        <v>644</v>
      </c>
      <c r="AJ1117">
        <v>35.839461999999997</v>
      </c>
      <c r="AK1117" t="s">
        <v>645</v>
      </c>
      <c r="AL1117">
        <v>-83.956940000000003</v>
      </c>
      <c r="AM1117">
        <v>25</v>
      </c>
      <c r="AN1117">
        <v>1150</v>
      </c>
      <c r="AO1117" t="s">
        <v>118</v>
      </c>
      <c r="AP1117">
        <v>-81</v>
      </c>
      <c r="AQ1117">
        <v>-37</v>
      </c>
      <c r="AR1117">
        <v>-576</v>
      </c>
      <c r="AZ1117">
        <v>300</v>
      </c>
      <c r="BA1117">
        <v>1</v>
      </c>
      <c r="BB1117" t="str">
        <f t="shared" si="53"/>
        <v xml:space="preserve">N162AM  </v>
      </c>
      <c r="BC1117">
        <v>1</v>
      </c>
      <c r="BE1117">
        <v>0</v>
      </c>
      <c r="BF1117">
        <v>0</v>
      </c>
      <c r="BG1117">
        <v>0</v>
      </c>
      <c r="BH1117">
        <v>1400</v>
      </c>
      <c r="BI1117">
        <v>1</v>
      </c>
      <c r="BJ1117">
        <v>1</v>
      </c>
      <c r="BK1117">
        <v>1</v>
      </c>
      <c r="BL1117">
        <v>0</v>
      </c>
      <c r="BO1117">
        <v>0</v>
      </c>
      <c r="BP1117">
        <v>0</v>
      </c>
      <c r="BW1117" t="str">
        <f>"14:47:35.240"</f>
        <v>14:47:35.240</v>
      </c>
      <c r="CJ1117">
        <v>3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232</v>
      </c>
      <c r="CR1117">
        <v>1</v>
      </c>
      <c r="CW1117">
        <v>15280762</v>
      </c>
      <c r="CY1117">
        <v>1</v>
      </c>
      <c r="CZ1117">
        <v>0</v>
      </c>
      <c r="DA1117">
        <v>0</v>
      </c>
      <c r="DB1117">
        <v>0</v>
      </c>
      <c r="DC1117">
        <v>0</v>
      </c>
      <c r="DD1117">
        <v>1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>"12/16/2021 14:47:35.443"</f>
        <v>12/16/2021 14:47:35.443</v>
      </c>
      <c r="C1118" t="str">
        <f t="shared" si="52"/>
        <v>FFDFD3C0</v>
      </c>
      <c r="D1118" t="s">
        <v>133</v>
      </c>
      <c r="E1118">
        <v>44</v>
      </c>
      <c r="H1118">
        <v>131</v>
      </c>
      <c r="I1118" t="s">
        <v>134</v>
      </c>
      <c r="J1118" t="s">
        <v>135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"14:47:35.234"</f>
        <v>14:47:35.234</v>
      </c>
      <c r="T1118" t="str">
        <f>"14:47:34.734"</f>
        <v>14:47:34.734</v>
      </c>
      <c r="U1118" t="str">
        <f t="shared" si="51"/>
        <v>A0F928</v>
      </c>
      <c r="V1118">
        <v>0</v>
      </c>
      <c r="W1118">
        <v>0</v>
      </c>
      <c r="X1118">
        <v>2</v>
      </c>
      <c r="Z1118">
        <v>0</v>
      </c>
      <c r="AA1118">
        <v>9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2</v>
      </c>
      <c r="AH1118">
        <v>1</v>
      </c>
      <c r="AI1118" t="s">
        <v>644</v>
      </c>
      <c r="AJ1118">
        <v>35.839461999999997</v>
      </c>
      <c r="AK1118" t="s">
        <v>645</v>
      </c>
      <c r="AL1118">
        <v>-83.956940000000003</v>
      </c>
      <c r="AM1118">
        <v>25</v>
      </c>
      <c r="AN1118">
        <v>1150</v>
      </c>
      <c r="AO1118" t="s">
        <v>118</v>
      </c>
      <c r="AP1118">
        <v>-81</v>
      </c>
      <c r="AQ1118">
        <v>-37</v>
      </c>
      <c r="AR1118">
        <v>-576</v>
      </c>
      <c r="AZ1118">
        <v>300</v>
      </c>
      <c r="BA1118">
        <v>1</v>
      </c>
      <c r="BB1118" t="str">
        <f t="shared" si="53"/>
        <v xml:space="preserve">N162AM  </v>
      </c>
      <c r="BC1118">
        <v>1</v>
      </c>
      <c r="BE1118">
        <v>0</v>
      </c>
      <c r="BF1118">
        <v>0</v>
      </c>
      <c r="BG1118">
        <v>0</v>
      </c>
      <c r="BH1118">
        <v>1400</v>
      </c>
      <c r="BI1118">
        <v>1</v>
      </c>
      <c r="BJ1118">
        <v>1</v>
      </c>
      <c r="BK1118">
        <v>1</v>
      </c>
      <c r="BL1118">
        <v>0</v>
      </c>
      <c r="BO1118">
        <v>0</v>
      </c>
      <c r="BP1118">
        <v>0</v>
      </c>
      <c r="BW1118" t="str">
        <f>"14:47:35.240"</f>
        <v>14:47:35.240</v>
      </c>
      <c r="CJ1118">
        <v>3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232</v>
      </c>
      <c r="CR1118">
        <v>1</v>
      </c>
      <c r="CW1118">
        <v>15280762</v>
      </c>
      <c r="CY1118">
        <v>1</v>
      </c>
      <c r="CZ1118">
        <v>0</v>
      </c>
      <c r="DA1118">
        <v>1</v>
      </c>
      <c r="DB1118">
        <v>0</v>
      </c>
      <c r="DC1118">
        <v>0</v>
      </c>
      <c r="DD1118">
        <v>1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>"12/16/2021 14:47:35.443"</f>
        <v>12/16/2021 14:47:35.443</v>
      </c>
      <c r="C1119" t="str">
        <f t="shared" si="52"/>
        <v>FFDFD3C0</v>
      </c>
      <c r="D1119" t="s">
        <v>124</v>
      </c>
      <c r="E1119">
        <v>10</v>
      </c>
      <c r="F1119">
        <v>1010</v>
      </c>
      <c r="G1119" t="s">
        <v>130</v>
      </c>
      <c r="J1119" t="s">
        <v>125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"14:47:35.234"</f>
        <v>14:47:35.234</v>
      </c>
      <c r="T1119" t="str">
        <f>"14:47:34.734"</f>
        <v>14:47:34.734</v>
      </c>
      <c r="U1119" t="str">
        <f t="shared" si="51"/>
        <v>A0F928</v>
      </c>
      <c r="V1119">
        <v>0</v>
      </c>
      <c r="W1119">
        <v>0</v>
      </c>
      <c r="X1119">
        <v>2</v>
      </c>
      <c r="Z1119">
        <v>0</v>
      </c>
      <c r="AA1119">
        <v>9</v>
      </c>
      <c r="AB1119">
        <v>3</v>
      </c>
      <c r="AC1119">
        <v>0</v>
      </c>
      <c r="AD1119">
        <v>10</v>
      </c>
      <c r="AE1119">
        <v>0</v>
      </c>
      <c r="AF1119">
        <v>0</v>
      </c>
      <c r="AG1119">
        <v>2</v>
      </c>
      <c r="AH1119">
        <v>1</v>
      </c>
      <c r="AI1119" t="s">
        <v>644</v>
      </c>
      <c r="AJ1119">
        <v>35.839461999999997</v>
      </c>
      <c r="AK1119" t="s">
        <v>645</v>
      </c>
      <c r="AL1119">
        <v>-83.956940000000003</v>
      </c>
      <c r="AM1119">
        <v>25</v>
      </c>
      <c r="AN1119">
        <v>1150</v>
      </c>
      <c r="AO1119" t="s">
        <v>118</v>
      </c>
      <c r="AP1119">
        <v>-81</v>
      </c>
      <c r="AQ1119">
        <v>-37</v>
      </c>
      <c r="AR1119">
        <v>-576</v>
      </c>
      <c r="AZ1119">
        <v>300</v>
      </c>
      <c r="BA1119">
        <v>1</v>
      </c>
      <c r="BB1119" t="str">
        <f t="shared" si="53"/>
        <v xml:space="preserve">N162AM  </v>
      </c>
      <c r="BC1119">
        <v>1</v>
      </c>
      <c r="BE1119">
        <v>0</v>
      </c>
      <c r="BF1119">
        <v>0</v>
      </c>
      <c r="BG1119">
        <v>0</v>
      </c>
      <c r="BH1119">
        <v>1400</v>
      </c>
      <c r="BI1119">
        <v>1</v>
      </c>
      <c r="BJ1119">
        <v>1</v>
      </c>
      <c r="BK1119">
        <v>1</v>
      </c>
      <c r="BL1119">
        <v>0</v>
      </c>
      <c r="BO1119">
        <v>0</v>
      </c>
      <c r="BP1119">
        <v>0</v>
      </c>
      <c r="BW1119" t="str">
        <f>"14:47:35.240"</f>
        <v>14:47:35.240</v>
      </c>
      <c r="CJ1119">
        <v>2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232</v>
      </c>
      <c r="CR1119">
        <v>1</v>
      </c>
      <c r="CW1119">
        <v>15280762</v>
      </c>
      <c r="CY1119">
        <v>1</v>
      </c>
      <c r="CZ1119">
        <v>0</v>
      </c>
      <c r="DA1119">
        <v>1</v>
      </c>
      <c r="DB1119">
        <v>0</v>
      </c>
      <c r="DC1119">
        <v>0</v>
      </c>
      <c r="DD1119">
        <v>1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>"12/16/2021 14:47:35.475"</f>
        <v>12/16/2021 14:47:35.475</v>
      </c>
      <c r="C1120" t="str">
        <f t="shared" si="52"/>
        <v>FFDFD3C0</v>
      </c>
      <c r="D1120" t="s">
        <v>113</v>
      </c>
      <c r="E1120">
        <v>8</v>
      </c>
      <c r="H1120">
        <v>176</v>
      </c>
      <c r="I1120" t="s">
        <v>114</v>
      </c>
      <c r="J1120" t="s">
        <v>115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"14:47:35.234"</f>
        <v>14:47:35.234</v>
      </c>
      <c r="T1120" t="str">
        <f>"14:47:34.734"</f>
        <v>14:47:34.734</v>
      </c>
      <c r="U1120" t="str">
        <f t="shared" si="51"/>
        <v>A0F928</v>
      </c>
      <c r="V1120">
        <v>0</v>
      </c>
      <c r="W1120">
        <v>0</v>
      </c>
      <c r="X1120">
        <v>2</v>
      </c>
      <c r="Z1120">
        <v>0</v>
      </c>
      <c r="AA1120">
        <v>9</v>
      </c>
      <c r="AB1120">
        <v>3</v>
      </c>
      <c r="AC1120">
        <v>0</v>
      </c>
      <c r="AD1120">
        <v>10</v>
      </c>
      <c r="AE1120">
        <v>0</v>
      </c>
      <c r="AF1120">
        <v>3</v>
      </c>
      <c r="AG1120">
        <v>2</v>
      </c>
      <c r="AH1120">
        <v>1</v>
      </c>
      <c r="AI1120" t="s">
        <v>644</v>
      </c>
      <c r="AJ1120">
        <v>35.839461999999997</v>
      </c>
      <c r="AK1120" t="s">
        <v>645</v>
      </c>
      <c r="AL1120">
        <v>-83.956940000000003</v>
      </c>
      <c r="AM1120">
        <v>25</v>
      </c>
      <c r="AN1120">
        <v>1150</v>
      </c>
      <c r="AO1120" t="s">
        <v>118</v>
      </c>
      <c r="AP1120">
        <v>-81</v>
      </c>
      <c r="AQ1120">
        <v>-37</v>
      </c>
      <c r="AR1120">
        <v>-576</v>
      </c>
      <c r="AZ1120">
        <v>300</v>
      </c>
      <c r="BA1120">
        <v>1</v>
      </c>
      <c r="BB1120" t="str">
        <f t="shared" si="53"/>
        <v xml:space="preserve">N162AM  </v>
      </c>
      <c r="BC1120">
        <v>1</v>
      </c>
      <c r="BE1120">
        <v>0</v>
      </c>
      <c r="BF1120">
        <v>0</v>
      </c>
      <c r="BG1120">
        <v>0</v>
      </c>
      <c r="BH1120">
        <v>1400</v>
      </c>
      <c r="BI1120">
        <v>1</v>
      </c>
      <c r="BJ1120">
        <v>1</v>
      </c>
      <c r="BK1120">
        <v>1</v>
      </c>
      <c r="BL1120">
        <v>0</v>
      </c>
      <c r="BO1120">
        <v>0</v>
      </c>
      <c r="BP1120">
        <v>0</v>
      </c>
      <c r="BW1120" t="str">
        <f>"14:47:35.240"</f>
        <v>14:47:35.240</v>
      </c>
      <c r="CJ1120">
        <v>3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232</v>
      </c>
      <c r="CR1120">
        <v>1</v>
      </c>
      <c r="CW1120">
        <v>15280762</v>
      </c>
      <c r="CY1120">
        <v>1</v>
      </c>
      <c r="CZ1120">
        <v>0</v>
      </c>
      <c r="DA1120">
        <v>1</v>
      </c>
      <c r="DB1120">
        <v>0</v>
      </c>
      <c r="DC1120">
        <v>0</v>
      </c>
      <c r="DD1120">
        <v>1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"12/16/2021 14:47:36.475"</f>
        <v>12/16/2021 14:47:36.475</v>
      </c>
      <c r="C1121" t="str">
        <f t="shared" si="52"/>
        <v>FFDFD3C0</v>
      </c>
      <c r="D1121" t="s">
        <v>113</v>
      </c>
      <c r="E1121">
        <v>8</v>
      </c>
      <c r="H1121">
        <v>176</v>
      </c>
      <c r="I1121" t="s">
        <v>114</v>
      </c>
      <c r="J1121" t="s">
        <v>115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"14:47:36.297"</f>
        <v>14:47:36.297</v>
      </c>
      <c r="T1121" t="str">
        <f>"14:47:35.797"</f>
        <v>14:47:35.797</v>
      </c>
      <c r="U1121" t="str">
        <f t="shared" si="51"/>
        <v>A0F928</v>
      </c>
      <c r="V1121">
        <v>0</v>
      </c>
      <c r="W1121">
        <v>0</v>
      </c>
      <c r="X1121">
        <v>2</v>
      </c>
      <c r="Z1121">
        <v>0</v>
      </c>
      <c r="AA1121">
        <v>9</v>
      </c>
      <c r="AB1121">
        <v>3</v>
      </c>
      <c r="AC1121">
        <v>0</v>
      </c>
      <c r="AD1121">
        <v>10</v>
      </c>
      <c r="AE1121">
        <v>0</v>
      </c>
      <c r="AF1121">
        <v>3</v>
      </c>
      <c r="AG1121">
        <v>2</v>
      </c>
      <c r="AH1121">
        <v>1</v>
      </c>
      <c r="AI1121" t="s">
        <v>646</v>
      </c>
      <c r="AJ1121">
        <v>35.839269000000002</v>
      </c>
      <c r="AK1121" t="s">
        <v>647</v>
      </c>
      <c r="AL1121">
        <v>-83.957454999999996</v>
      </c>
      <c r="AM1121">
        <v>25</v>
      </c>
      <c r="AN1121">
        <v>1150</v>
      </c>
      <c r="AO1121" t="s">
        <v>118</v>
      </c>
      <c r="AP1121">
        <v>-78</v>
      </c>
      <c r="AQ1121">
        <v>-44</v>
      </c>
      <c r="AR1121">
        <v>-704</v>
      </c>
      <c r="AZ1121">
        <v>300</v>
      </c>
      <c r="BA1121">
        <v>1</v>
      </c>
      <c r="BB1121" t="str">
        <f t="shared" si="53"/>
        <v xml:space="preserve">N162AM  </v>
      </c>
      <c r="BC1121">
        <v>1</v>
      </c>
      <c r="BE1121">
        <v>0</v>
      </c>
      <c r="BF1121">
        <v>0</v>
      </c>
      <c r="BG1121">
        <v>0</v>
      </c>
      <c r="BH1121">
        <v>1400</v>
      </c>
      <c r="BI1121">
        <v>1</v>
      </c>
      <c r="BJ1121">
        <v>1</v>
      </c>
      <c r="BK1121">
        <v>1</v>
      </c>
      <c r="BL1121">
        <v>0</v>
      </c>
      <c r="BO1121">
        <v>0</v>
      </c>
      <c r="BP1121">
        <v>0</v>
      </c>
      <c r="BW1121" t="str">
        <f>"14:47:36.304"</f>
        <v>14:47:36.304</v>
      </c>
      <c r="CJ1121">
        <v>3</v>
      </c>
      <c r="CK1121">
        <v>2</v>
      </c>
      <c r="CL1121">
        <v>0</v>
      </c>
      <c r="CM1121">
        <v>2</v>
      </c>
      <c r="CN1121">
        <v>0</v>
      </c>
      <c r="CO1121">
        <v>6</v>
      </c>
      <c r="CP1121" t="s">
        <v>119</v>
      </c>
      <c r="CQ1121">
        <v>232</v>
      </c>
      <c r="CR1121">
        <v>1</v>
      </c>
      <c r="CW1121">
        <v>15282393</v>
      </c>
      <c r="CY1121">
        <v>1</v>
      </c>
      <c r="CZ1121">
        <v>0</v>
      </c>
      <c r="DA1121">
        <v>0</v>
      </c>
      <c r="DB1121">
        <v>0</v>
      </c>
      <c r="DC1121">
        <v>0</v>
      </c>
      <c r="DD1121">
        <v>1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"12/16/2021 14:47:36.490"</f>
        <v>12/16/2021 14:47:36.490</v>
      </c>
      <c r="C1122" t="str">
        <f t="shared" si="52"/>
        <v>FFDFD3C0</v>
      </c>
      <c r="D1122" t="s">
        <v>124</v>
      </c>
      <c r="E1122">
        <v>10</v>
      </c>
      <c r="F1122">
        <v>1010</v>
      </c>
      <c r="G1122" t="s">
        <v>130</v>
      </c>
      <c r="J1122" t="s">
        <v>125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"14:47:36.297"</f>
        <v>14:47:36.297</v>
      </c>
      <c r="T1122" t="str">
        <f>"14:47:35.797"</f>
        <v>14:47:35.797</v>
      </c>
      <c r="U1122" t="str">
        <f t="shared" si="51"/>
        <v>A0F928</v>
      </c>
      <c r="V1122">
        <v>0</v>
      </c>
      <c r="W1122">
        <v>0</v>
      </c>
      <c r="X1122">
        <v>2</v>
      </c>
      <c r="Z1122">
        <v>0</v>
      </c>
      <c r="AA1122">
        <v>9</v>
      </c>
      <c r="AB1122">
        <v>3</v>
      </c>
      <c r="AC1122">
        <v>0</v>
      </c>
      <c r="AD1122">
        <v>10</v>
      </c>
      <c r="AE1122">
        <v>0</v>
      </c>
      <c r="AF1122">
        <v>0</v>
      </c>
      <c r="AG1122">
        <v>2</v>
      </c>
      <c r="AH1122">
        <v>1</v>
      </c>
      <c r="AI1122" t="s">
        <v>646</v>
      </c>
      <c r="AJ1122">
        <v>35.839269000000002</v>
      </c>
      <c r="AK1122" t="s">
        <v>647</v>
      </c>
      <c r="AL1122">
        <v>-83.957454999999996</v>
      </c>
      <c r="AM1122">
        <v>25</v>
      </c>
      <c r="AN1122">
        <v>1150</v>
      </c>
      <c r="AO1122" t="s">
        <v>118</v>
      </c>
      <c r="AP1122">
        <v>-78</v>
      </c>
      <c r="AQ1122">
        <v>-44</v>
      </c>
      <c r="AR1122">
        <v>-704</v>
      </c>
      <c r="AZ1122">
        <v>300</v>
      </c>
      <c r="BA1122">
        <v>1</v>
      </c>
      <c r="BB1122" t="str">
        <f t="shared" si="53"/>
        <v xml:space="preserve">N162AM  </v>
      </c>
      <c r="BC1122">
        <v>1</v>
      </c>
      <c r="BE1122">
        <v>0</v>
      </c>
      <c r="BF1122">
        <v>0</v>
      </c>
      <c r="BG1122">
        <v>0</v>
      </c>
      <c r="BH1122">
        <v>1400</v>
      </c>
      <c r="BI1122">
        <v>1</v>
      </c>
      <c r="BJ1122">
        <v>1</v>
      </c>
      <c r="BK1122">
        <v>1</v>
      </c>
      <c r="BL1122">
        <v>0</v>
      </c>
      <c r="BO1122">
        <v>0</v>
      </c>
      <c r="BP1122">
        <v>0</v>
      </c>
      <c r="BW1122" t="str">
        <f>"14:47:36.304"</f>
        <v>14:47:36.304</v>
      </c>
      <c r="CJ1122">
        <v>2</v>
      </c>
      <c r="CK1122">
        <v>2</v>
      </c>
      <c r="CL1122">
        <v>0</v>
      </c>
      <c r="CM1122">
        <v>2</v>
      </c>
      <c r="CN1122">
        <v>0</v>
      </c>
      <c r="CO1122">
        <v>6</v>
      </c>
      <c r="CP1122" t="s">
        <v>119</v>
      </c>
      <c r="CQ1122">
        <v>232</v>
      </c>
      <c r="CR1122">
        <v>1</v>
      </c>
      <c r="CW1122">
        <v>15282393</v>
      </c>
      <c r="CY1122">
        <v>1</v>
      </c>
      <c r="CZ1122">
        <v>0</v>
      </c>
      <c r="DA1122">
        <v>1</v>
      </c>
      <c r="DB1122">
        <v>0</v>
      </c>
      <c r="DC1122">
        <v>0</v>
      </c>
      <c r="DD1122">
        <v>1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"12/16/2021 14:47:36.490"</f>
        <v>12/16/2021 14:47:36.490</v>
      </c>
      <c r="C1123" t="str">
        <f t="shared" si="52"/>
        <v>FFDFD3C0</v>
      </c>
      <c r="D1123" t="s">
        <v>124</v>
      </c>
      <c r="E1123">
        <v>5</v>
      </c>
      <c r="F1123">
        <v>1005</v>
      </c>
      <c r="G1123" t="s">
        <v>114</v>
      </c>
      <c r="J1123" t="s">
        <v>125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"14:47:36.297"</f>
        <v>14:47:36.297</v>
      </c>
      <c r="T1123" t="str">
        <f>"14:47:35.797"</f>
        <v>14:47:35.797</v>
      </c>
      <c r="U1123" t="str">
        <f t="shared" si="51"/>
        <v>A0F928</v>
      </c>
      <c r="V1123">
        <v>0</v>
      </c>
      <c r="W1123">
        <v>0</v>
      </c>
      <c r="X1123">
        <v>2</v>
      </c>
      <c r="Z1123">
        <v>0</v>
      </c>
      <c r="AA1123">
        <v>9</v>
      </c>
      <c r="AB1123">
        <v>3</v>
      </c>
      <c r="AC1123">
        <v>0</v>
      </c>
      <c r="AD1123">
        <v>10</v>
      </c>
      <c r="AE1123">
        <v>0</v>
      </c>
      <c r="AF1123">
        <v>3</v>
      </c>
      <c r="AG1123">
        <v>2</v>
      </c>
      <c r="AH1123">
        <v>1</v>
      </c>
      <c r="AI1123" t="s">
        <v>646</v>
      </c>
      <c r="AJ1123">
        <v>35.839269000000002</v>
      </c>
      <c r="AK1123" t="s">
        <v>647</v>
      </c>
      <c r="AL1123">
        <v>-83.957454999999996</v>
      </c>
      <c r="AM1123">
        <v>25</v>
      </c>
      <c r="AN1123">
        <v>1150</v>
      </c>
      <c r="AO1123" t="s">
        <v>118</v>
      </c>
      <c r="AP1123">
        <v>-78</v>
      </c>
      <c r="AQ1123">
        <v>-44</v>
      </c>
      <c r="AR1123">
        <v>-704</v>
      </c>
      <c r="AZ1123">
        <v>300</v>
      </c>
      <c r="BA1123">
        <v>1</v>
      </c>
      <c r="BB1123" t="str">
        <f t="shared" si="53"/>
        <v xml:space="preserve">N162AM  </v>
      </c>
      <c r="BC1123">
        <v>1</v>
      </c>
      <c r="BE1123">
        <v>0</v>
      </c>
      <c r="BF1123">
        <v>0</v>
      </c>
      <c r="BG1123">
        <v>0</v>
      </c>
      <c r="BH1123">
        <v>1400</v>
      </c>
      <c r="BI1123">
        <v>1</v>
      </c>
      <c r="BJ1123">
        <v>1</v>
      </c>
      <c r="BK1123">
        <v>1</v>
      </c>
      <c r="BL1123">
        <v>0</v>
      </c>
      <c r="BO1123">
        <v>0</v>
      </c>
      <c r="BP1123">
        <v>0</v>
      </c>
      <c r="BW1123" t="str">
        <f>"14:47:36.304"</f>
        <v>14:47:36.304</v>
      </c>
      <c r="CJ1123">
        <v>3</v>
      </c>
      <c r="CK1123">
        <v>2</v>
      </c>
      <c r="CL1123">
        <v>0</v>
      </c>
      <c r="CM1123">
        <v>2</v>
      </c>
      <c r="CN1123">
        <v>0</v>
      </c>
      <c r="CO1123">
        <v>6</v>
      </c>
      <c r="CP1123" t="s">
        <v>119</v>
      </c>
      <c r="CQ1123">
        <v>232</v>
      </c>
      <c r="CR1123">
        <v>1</v>
      </c>
      <c r="CW1123">
        <v>15282393</v>
      </c>
      <c r="CY1123">
        <v>1</v>
      </c>
      <c r="CZ1123">
        <v>0</v>
      </c>
      <c r="DA1123">
        <v>1</v>
      </c>
      <c r="DB1123">
        <v>0</v>
      </c>
      <c r="DC1123">
        <v>0</v>
      </c>
      <c r="DD1123">
        <v>1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"12/16/2021 14:47:36.506"</f>
        <v>12/16/2021 14:47:36.506</v>
      </c>
      <c r="C1124" t="str">
        <f t="shared" si="52"/>
        <v>FFDFD3C0</v>
      </c>
      <c r="D1124" t="s">
        <v>133</v>
      </c>
      <c r="E1124">
        <v>44</v>
      </c>
      <c r="H1124">
        <v>131</v>
      </c>
      <c r="I1124" t="s">
        <v>134</v>
      </c>
      <c r="J1124" t="s">
        <v>135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"14:47:36.297"</f>
        <v>14:47:36.297</v>
      </c>
      <c r="T1124" t="str">
        <f>"14:47:35.797"</f>
        <v>14:47:35.797</v>
      </c>
      <c r="U1124" t="str">
        <f t="shared" si="51"/>
        <v>A0F928</v>
      </c>
      <c r="V1124">
        <v>0</v>
      </c>
      <c r="W1124">
        <v>0</v>
      </c>
      <c r="X1124">
        <v>2</v>
      </c>
      <c r="Z1124">
        <v>0</v>
      </c>
      <c r="AA1124">
        <v>9</v>
      </c>
      <c r="AB1124">
        <v>3</v>
      </c>
      <c r="AC1124">
        <v>0</v>
      </c>
      <c r="AD1124">
        <v>10</v>
      </c>
      <c r="AE1124">
        <v>0</v>
      </c>
      <c r="AF1124">
        <v>3</v>
      </c>
      <c r="AG1124">
        <v>2</v>
      </c>
      <c r="AH1124">
        <v>1</v>
      </c>
      <c r="AI1124" t="s">
        <v>646</v>
      </c>
      <c r="AJ1124">
        <v>35.839269000000002</v>
      </c>
      <c r="AK1124" t="s">
        <v>647</v>
      </c>
      <c r="AL1124">
        <v>-83.957454999999996</v>
      </c>
      <c r="AM1124">
        <v>25</v>
      </c>
      <c r="AN1124">
        <v>1150</v>
      </c>
      <c r="AO1124" t="s">
        <v>118</v>
      </c>
      <c r="AP1124">
        <v>-78</v>
      </c>
      <c r="AQ1124">
        <v>-44</v>
      </c>
      <c r="AR1124">
        <v>-704</v>
      </c>
      <c r="AZ1124">
        <v>300</v>
      </c>
      <c r="BA1124">
        <v>1</v>
      </c>
      <c r="BB1124" t="str">
        <f t="shared" si="53"/>
        <v xml:space="preserve">N162AM  </v>
      </c>
      <c r="BC1124">
        <v>1</v>
      </c>
      <c r="BE1124">
        <v>0</v>
      </c>
      <c r="BF1124">
        <v>0</v>
      </c>
      <c r="BG1124">
        <v>0</v>
      </c>
      <c r="BH1124">
        <v>1400</v>
      </c>
      <c r="BI1124">
        <v>1</v>
      </c>
      <c r="BJ1124">
        <v>1</v>
      </c>
      <c r="BK1124">
        <v>1</v>
      </c>
      <c r="BL1124">
        <v>0</v>
      </c>
      <c r="BO1124">
        <v>0</v>
      </c>
      <c r="BP1124">
        <v>0</v>
      </c>
      <c r="BW1124" t="str">
        <f>"14:47:36.304"</f>
        <v>14:47:36.304</v>
      </c>
      <c r="CJ1124">
        <v>3</v>
      </c>
      <c r="CK1124">
        <v>2</v>
      </c>
      <c r="CL1124">
        <v>0</v>
      </c>
      <c r="CM1124">
        <v>2</v>
      </c>
      <c r="CN1124">
        <v>0</v>
      </c>
      <c r="CO1124">
        <v>6</v>
      </c>
      <c r="CP1124" t="s">
        <v>119</v>
      </c>
      <c r="CQ1124">
        <v>232</v>
      </c>
      <c r="CR1124">
        <v>1</v>
      </c>
      <c r="CW1124">
        <v>15282393</v>
      </c>
      <c r="CY1124">
        <v>1</v>
      </c>
      <c r="CZ1124">
        <v>0</v>
      </c>
      <c r="DA1124">
        <v>1</v>
      </c>
      <c r="DB1124">
        <v>0</v>
      </c>
      <c r="DC1124">
        <v>0</v>
      </c>
      <c r="DD1124">
        <v>1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"12/16/2021 14:47:37.897"</f>
        <v>12/16/2021 14:47:37.897</v>
      </c>
      <c r="C1125" t="str">
        <f t="shared" si="52"/>
        <v>FFDFD3C0</v>
      </c>
      <c r="D1125" t="s">
        <v>113</v>
      </c>
      <c r="E1125">
        <v>8</v>
      </c>
      <c r="H1125">
        <v>176</v>
      </c>
      <c r="I1125" t="s">
        <v>114</v>
      </c>
      <c r="J1125" t="s">
        <v>115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"14:47:37.672"</f>
        <v>14:47:37.672</v>
      </c>
      <c r="T1125" t="str">
        <f>"14:47:37.272"</f>
        <v>14:47:37.272</v>
      </c>
      <c r="U1125" t="str">
        <f t="shared" si="51"/>
        <v>A0F928</v>
      </c>
      <c r="V1125">
        <v>0</v>
      </c>
      <c r="W1125">
        <v>0</v>
      </c>
      <c r="X1125">
        <v>2</v>
      </c>
      <c r="Z1125">
        <v>0</v>
      </c>
      <c r="AA1125">
        <v>9</v>
      </c>
      <c r="AB1125">
        <v>3</v>
      </c>
      <c r="AC1125">
        <v>0</v>
      </c>
      <c r="AD1125">
        <v>10</v>
      </c>
      <c r="AE1125">
        <v>0</v>
      </c>
      <c r="AF1125">
        <v>3</v>
      </c>
      <c r="AG1125">
        <v>2</v>
      </c>
      <c r="AH1125">
        <v>1</v>
      </c>
      <c r="AI1125" t="s">
        <v>648</v>
      </c>
      <c r="AJ1125">
        <v>35.838883000000003</v>
      </c>
      <c r="AK1125" t="s">
        <v>649</v>
      </c>
      <c r="AL1125">
        <v>-83.957992000000004</v>
      </c>
      <c r="AM1125">
        <v>25</v>
      </c>
      <c r="AN1125">
        <v>1125</v>
      </c>
      <c r="AO1125" t="s">
        <v>118</v>
      </c>
      <c r="AP1125">
        <v>-72</v>
      </c>
      <c r="AQ1125">
        <v>-54</v>
      </c>
      <c r="AR1125">
        <v>-640</v>
      </c>
      <c r="AZ1125">
        <v>300</v>
      </c>
      <c r="BA1125">
        <v>1</v>
      </c>
      <c r="BB1125" t="str">
        <f t="shared" si="53"/>
        <v xml:space="preserve">N162AM  </v>
      </c>
      <c r="BC1125">
        <v>1</v>
      </c>
      <c r="BE1125">
        <v>0</v>
      </c>
      <c r="BF1125">
        <v>0</v>
      </c>
      <c r="BG1125">
        <v>0</v>
      </c>
      <c r="BH1125">
        <v>1375</v>
      </c>
      <c r="BI1125">
        <v>1</v>
      </c>
      <c r="BJ1125">
        <v>1</v>
      </c>
      <c r="BK1125">
        <v>1</v>
      </c>
      <c r="BL1125">
        <v>0</v>
      </c>
      <c r="BO1125">
        <v>0</v>
      </c>
      <c r="BP1125">
        <v>0</v>
      </c>
      <c r="BW1125" t="str">
        <f>"14:47:37.678"</f>
        <v>14:47:37.678</v>
      </c>
      <c r="CJ1125">
        <v>3</v>
      </c>
      <c r="CK1125">
        <v>2</v>
      </c>
      <c r="CL1125">
        <v>0</v>
      </c>
      <c r="CM1125">
        <v>2</v>
      </c>
      <c r="CN1125">
        <v>0</v>
      </c>
      <c r="CO1125">
        <v>6</v>
      </c>
      <c r="CP1125" t="s">
        <v>119</v>
      </c>
      <c r="CQ1125">
        <v>232</v>
      </c>
      <c r="CR1125">
        <v>1</v>
      </c>
      <c r="CW1125">
        <v>15284352</v>
      </c>
      <c r="CY1125">
        <v>1</v>
      </c>
      <c r="CZ1125">
        <v>0</v>
      </c>
      <c r="DA1125">
        <v>0</v>
      </c>
      <c r="DB1125">
        <v>0</v>
      </c>
      <c r="DC1125">
        <v>0</v>
      </c>
      <c r="DD1125">
        <v>1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"12/16/2021 14:47:37.897"</f>
        <v>12/16/2021 14:47:37.897</v>
      </c>
      <c r="C1126" t="str">
        <f t="shared" si="52"/>
        <v>FFDFD3C0</v>
      </c>
      <c r="D1126" t="s">
        <v>124</v>
      </c>
      <c r="E1126">
        <v>10</v>
      </c>
      <c r="F1126">
        <v>1010</v>
      </c>
      <c r="G1126" t="s">
        <v>130</v>
      </c>
      <c r="J1126" t="s">
        <v>125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"14:47:37.672"</f>
        <v>14:47:37.672</v>
      </c>
      <c r="T1126" t="str">
        <f>"14:47:37.272"</f>
        <v>14:47:37.272</v>
      </c>
      <c r="U1126" t="str">
        <f t="shared" si="51"/>
        <v>A0F928</v>
      </c>
      <c r="V1126">
        <v>0</v>
      </c>
      <c r="W1126">
        <v>0</v>
      </c>
      <c r="X1126">
        <v>2</v>
      </c>
      <c r="Z1126">
        <v>0</v>
      </c>
      <c r="AA1126">
        <v>9</v>
      </c>
      <c r="AB1126">
        <v>3</v>
      </c>
      <c r="AC1126">
        <v>0</v>
      </c>
      <c r="AD1126">
        <v>10</v>
      </c>
      <c r="AE1126">
        <v>0</v>
      </c>
      <c r="AF1126">
        <v>0</v>
      </c>
      <c r="AG1126">
        <v>2</v>
      </c>
      <c r="AH1126">
        <v>1</v>
      </c>
      <c r="AI1126" t="s">
        <v>648</v>
      </c>
      <c r="AJ1126">
        <v>35.838883000000003</v>
      </c>
      <c r="AK1126" t="s">
        <v>649</v>
      </c>
      <c r="AL1126">
        <v>-83.957992000000004</v>
      </c>
      <c r="AM1126">
        <v>25</v>
      </c>
      <c r="AN1126">
        <v>1125</v>
      </c>
      <c r="AO1126" t="s">
        <v>118</v>
      </c>
      <c r="AP1126">
        <v>-72</v>
      </c>
      <c r="AQ1126">
        <v>-54</v>
      </c>
      <c r="AR1126">
        <v>-640</v>
      </c>
      <c r="AZ1126">
        <v>300</v>
      </c>
      <c r="BA1126">
        <v>1</v>
      </c>
      <c r="BB1126" t="str">
        <f t="shared" si="53"/>
        <v xml:space="preserve">N162AM  </v>
      </c>
      <c r="BC1126">
        <v>1</v>
      </c>
      <c r="BE1126">
        <v>0</v>
      </c>
      <c r="BF1126">
        <v>0</v>
      </c>
      <c r="BG1126">
        <v>0</v>
      </c>
      <c r="BH1126">
        <v>1375</v>
      </c>
      <c r="BI1126">
        <v>1</v>
      </c>
      <c r="BJ1126">
        <v>1</v>
      </c>
      <c r="BK1126">
        <v>1</v>
      </c>
      <c r="BL1126">
        <v>0</v>
      </c>
      <c r="BO1126">
        <v>0</v>
      </c>
      <c r="BP1126">
        <v>0</v>
      </c>
      <c r="BW1126" t="str">
        <f>"14:47:37.678"</f>
        <v>14:47:37.678</v>
      </c>
      <c r="CJ1126">
        <v>2</v>
      </c>
      <c r="CK1126">
        <v>2</v>
      </c>
      <c r="CL1126">
        <v>0</v>
      </c>
      <c r="CM1126">
        <v>2</v>
      </c>
      <c r="CN1126">
        <v>0</v>
      </c>
      <c r="CO1126">
        <v>6</v>
      </c>
      <c r="CP1126" t="s">
        <v>119</v>
      </c>
      <c r="CQ1126">
        <v>232</v>
      </c>
      <c r="CR1126">
        <v>1</v>
      </c>
      <c r="CW1126">
        <v>15284352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1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"12/16/2021 14:47:37.912"</f>
        <v>12/16/2021 14:47:37.912</v>
      </c>
      <c r="C1127" t="str">
        <f t="shared" si="52"/>
        <v>FFDFD3C0</v>
      </c>
      <c r="D1127" t="s">
        <v>124</v>
      </c>
      <c r="E1127">
        <v>5</v>
      </c>
      <c r="F1127">
        <v>1005</v>
      </c>
      <c r="G1127" t="s">
        <v>114</v>
      </c>
      <c r="J1127" t="s">
        <v>125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"14:47:37.672"</f>
        <v>14:47:37.672</v>
      </c>
      <c r="T1127" t="str">
        <f>"14:47:37.272"</f>
        <v>14:47:37.272</v>
      </c>
      <c r="U1127" t="str">
        <f t="shared" si="51"/>
        <v>A0F928</v>
      </c>
      <c r="V1127">
        <v>0</v>
      </c>
      <c r="W1127">
        <v>0</v>
      </c>
      <c r="X1127">
        <v>2</v>
      </c>
      <c r="Z1127">
        <v>0</v>
      </c>
      <c r="AA1127">
        <v>9</v>
      </c>
      <c r="AB1127">
        <v>3</v>
      </c>
      <c r="AC1127">
        <v>0</v>
      </c>
      <c r="AD1127">
        <v>10</v>
      </c>
      <c r="AE1127">
        <v>0</v>
      </c>
      <c r="AF1127">
        <v>3</v>
      </c>
      <c r="AG1127">
        <v>2</v>
      </c>
      <c r="AH1127">
        <v>1</v>
      </c>
      <c r="AI1127" t="s">
        <v>648</v>
      </c>
      <c r="AJ1127">
        <v>35.838883000000003</v>
      </c>
      <c r="AK1127" t="s">
        <v>649</v>
      </c>
      <c r="AL1127">
        <v>-83.957992000000004</v>
      </c>
      <c r="AM1127">
        <v>25</v>
      </c>
      <c r="AN1127">
        <v>1125</v>
      </c>
      <c r="AO1127" t="s">
        <v>118</v>
      </c>
      <c r="AP1127">
        <v>-72</v>
      </c>
      <c r="AQ1127">
        <v>-54</v>
      </c>
      <c r="AR1127">
        <v>-640</v>
      </c>
      <c r="AZ1127">
        <v>300</v>
      </c>
      <c r="BA1127">
        <v>1</v>
      </c>
      <c r="BB1127" t="str">
        <f t="shared" si="53"/>
        <v xml:space="preserve">N162AM  </v>
      </c>
      <c r="BC1127">
        <v>1</v>
      </c>
      <c r="BE1127">
        <v>0</v>
      </c>
      <c r="BF1127">
        <v>0</v>
      </c>
      <c r="BG1127">
        <v>0</v>
      </c>
      <c r="BH1127">
        <v>1375</v>
      </c>
      <c r="BI1127">
        <v>1</v>
      </c>
      <c r="BJ1127">
        <v>1</v>
      </c>
      <c r="BK1127">
        <v>1</v>
      </c>
      <c r="BL1127">
        <v>0</v>
      </c>
      <c r="BO1127">
        <v>0</v>
      </c>
      <c r="BP1127">
        <v>0</v>
      </c>
      <c r="BW1127" t="str">
        <f>"14:47:37.678"</f>
        <v>14:47:37.678</v>
      </c>
      <c r="CJ1127">
        <v>3</v>
      </c>
      <c r="CK1127">
        <v>2</v>
      </c>
      <c r="CL1127">
        <v>0</v>
      </c>
      <c r="CM1127">
        <v>2</v>
      </c>
      <c r="CN1127">
        <v>0</v>
      </c>
      <c r="CO1127">
        <v>6</v>
      </c>
      <c r="CP1127" t="s">
        <v>119</v>
      </c>
      <c r="CQ1127">
        <v>232</v>
      </c>
      <c r="CR1127">
        <v>1</v>
      </c>
      <c r="CW1127">
        <v>15284352</v>
      </c>
      <c r="CY1127">
        <v>1</v>
      </c>
      <c r="CZ1127">
        <v>0</v>
      </c>
      <c r="DA1127">
        <v>1</v>
      </c>
      <c r="DB1127">
        <v>0</v>
      </c>
      <c r="DC1127">
        <v>0</v>
      </c>
      <c r="DD1127">
        <v>1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"12/16/2021 14:47:37.928"</f>
        <v>12/16/2021 14:47:37.928</v>
      </c>
      <c r="C1128" t="str">
        <f t="shared" si="52"/>
        <v>FFDFD3C0</v>
      </c>
      <c r="D1128" t="s">
        <v>133</v>
      </c>
      <c r="E1128">
        <v>44</v>
      </c>
      <c r="H1128">
        <v>131</v>
      </c>
      <c r="I1128" t="s">
        <v>134</v>
      </c>
      <c r="J1128" t="s">
        <v>135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"14:47:37.672"</f>
        <v>14:47:37.672</v>
      </c>
      <c r="T1128" t="str">
        <f>"14:47:37.272"</f>
        <v>14:47:37.272</v>
      </c>
      <c r="U1128" t="str">
        <f t="shared" si="51"/>
        <v>A0F928</v>
      </c>
      <c r="V1128">
        <v>0</v>
      </c>
      <c r="W1128">
        <v>0</v>
      </c>
      <c r="X1128">
        <v>2</v>
      </c>
      <c r="Z1128">
        <v>0</v>
      </c>
      <c r="AA1128">
        <v>9</v>
      </c>
      <c r="AB1128">
        <v>3</v>
      </c>
      <c r="AC1128">
        <v>0</v>
      </c>
      <c r="AD1128">
        <v>10</v>
      </c>
      <c r="AE1128">
        <v>0</v>
      </c>
      <c r="AF1128">
        <v>3</v>
      </c>
      <c r="AG1128">
        <v>2</v>
      </c>
      <c r="AH1128">
        <v>1</v>
      </c>
      <c r="AI1128" t="s">
        <v>648</v>
      </c>
      <c r="AJ1128">
        <v>35.838883000000003</v>
      </c>
      <c r="AK1128" t="s">
        <v>649</v>
      </c>
      <c r="AL1128">
        <v>-83.957992000000004</v>
      </c>
      <c r="AM1128">
        <v>25</v>
      </c>
      <c r="AN1128">
        <v>1125</v>
      </c>
      <c r="AO1128" t="s">
        <v>118</v>
      </c>
      <c r="AP1128">
        <v>-72</v>
      </c>
      <c r="AQ1128">
        <v>-54</v>
      </c>
      <c r="AR1128">
        <v>-640</v>
      </c>
      <c r="AZ1128">
        <v>300</v>
      </c>
      <c r="BA1128">
        <v>1</v>
      </c>
      <c r="BB1128" t="str">
        <f t="shared" si="53"/>
        <v xml:space="preserve">N162AM  </v>
      </c>
      <c r="BC1128">
        <v>1</v>
      </c>
      <c r="BE1128">
        <v>0</v>
      </c>
      <c r="BF1128">
        <v>0</v>
      </c>
      <c r="BG1128">
        <v>0</v>
      </c>
      <c r="BH1128">
        <v>1375</v>
      </c>
      <c r="BI1128">
        <v>1</v>
      </c>
      <c r="BJ1128">
        <v>1</v>
      </c>
      <c r="BK1128">
        <v>1</v>
      </c>
      <c r="BL1128">
        <v>0</v>
      </c>
      <c r="BO1128">
        <v>0</v>
      </c>
      <c r="BP1128">
        <v>0</v>
      </c>
      <c r="BW1128" t="str">
        <f>"14:47:37.678"</f>
        <v>14:47:37.678</v>
      </c>
      <c r="CJ1128">
        <v>3</v>
      </c>
      <c r="CK1128">
        <v>2</v>
      </c>
      <c r="CL1128">
        <v>0</v>
      </c>
      <c r="CM1128">
        <v>2</v>
      </c>
      <c r="CN1128">
        <v>0</v>
      </c>
      <c r="CO1128">
        <v>6</v>
      </c>
      <c r="CP1128" t="s">
        <v>119</v>
      </c>
      <c r="CQ1128">
        <v>232</v>
      </c>
      <c r="CR1128">
        <v>1</v>
      </c>
      <c r="CW1128">
        <v>15284352</v>
      </c>
      <c r="CY1128">
        <v>1</v>
      </c>
      <c r="CZ1128">
        <v>0</v>
      </c>
      <c r="DA1128">
        <v>1</v>
      </c>
      <c r="DB1128">
        <v>0</v>
      </c>
      <c r="DC1128">
        <v>0</v>
      </c>
      <c r="DD1128">
        <v>1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"12/16/2021 14:47:39.288"</f>
        <v>12/16/2021 14:47:39.288</v>
      </c>
      <c r="C1129" t="str">
        <f t="shared" si="52"/>
        <v>FFDFD3C0</v>
      </c>
      <c r="D1129" t="s">
        <v>133</v>
      </c>
      <c r="E1129">
        <v>44</v>
      </c>
      <c r="H1129">
        <v>131</v>
      </c>
      <c r="I1129" t="s">
        <v>134</v>
      </c>
      <c r="J1129" t="s">
        <v>135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"14:47:39.063"</f>
        <v>14:47:39.063</v>
      </c>
      <c r="T1129" t="str">
        <f>"14:47:38.663"</f>
        <v>14:47:38.663</v>
      </c>
      <c r="U1129" t="str">
        <f t="shared" si="51"/>
        <v>A0F928</v>
      </c>
      <c r="V1129">
        <v>0</v>
      </c>
      <c r="W1129">
        <v>0</v>
      </c>
      <c r="X1129">
        <v>2</v>
      </c>
      <c r="Z1129">
        <v>0</v>
      </c>
      <c r="AA1129">
        <v>9</v>
      </c>
      <c r="AB1129">
        <v>3</v>
      </c>
      <c r="AC1129">
        <v>0</v>
      </c>
      <c r="AD1129">
        <v>10</v>
      </c>
      <c r="AE1129">
        <v>0</v>
      </c>
      <c r="AF1129">
        <v>3</v>
      </c>
      <c r="AG1129">
        <v>2</v>
      </c>
      <c r="AH1129">
        <v>1</v>
      </c>
      <c r="AI1129" t="s">
        <v>650</v>
      </c>
      <c r="AJ1129">
        <v>35.838475000000003</v>
      </c>
      <c r="AK1129" t="s">
        <v>651</v>
      </c>
      <c r="AL1129">
        <v>-83.958506999999997</v>
      </c>
      <c r="AM1129">
        <v>25</v>
      </c>
      <c r="AN1129">
        <v>1100</v>
      </c>
      <c r="AO1129" t="s">
        <v>118</v>
      </c>
      <c r="AP1129">
        <v>-66</v>
      </c>
      <c r="AQ1129">
        <v>-63</v>
      </c>
      <c r="AR1129">
        <v>-576</v>
      </c>
      <c r="AZ1129">
        <v>300</v>
      </c>
      <c r="BA1129">
        <v>1</v>
      </c>
      <c r="BB1129" t="str">
        <f t="shared" si="53"/>
        <v xml:space="preserve">N162AM  </v>
      </c>
      <c r="BC1129">
        <v>1</v>
      </c>
      <c r="BE1129">
        <v>0</v>
      </c>
      <c r="BF1129">
        <v>0</v>
      </c>
      <c r="BG1129">
        <v>0</v>
      </c>
      <c r="BH1129">
        <v>1350</v>
      </c>
      <c r="BI1129">
        <v>1</v>
      </c>
      <c r="BJ1129">
        <v>1</v>
      </c>
      <c r="BK1129">
        <v>1</v>
      </c>
      <c r="BL1129">
        <v>0</v>
      </c>
      <c r="BO1129">
        <v>0</v>
      </c>
      <c r="BP1129">
        <v>0</v>
      </c>
      <c r="BW1129" t="str">
        <f>"14:47:39.063"</f>
        <v>14:47:39.063</v>
      </c>
      <c r="CJ1129">
        <v>3</v>
      </c>
      <c r="CK1129">
        <v>2</v>
      </c>
      <c r="CL1129">
        <v>0</v>
      </c>
      <c r="CM1129">
        <v>2</v>
      </c>
      <c r="CN1129">
        <v>0</v>
      </c>
      <c r="CO1129">
        <v>5</v>
      </c>
      <c r="CP1129" t="s">
        <v>119</v>
      </c>
      <c r="CQ1129">
        <v>232</v>
      </c>
      <c r="CR1129">
        <v>2</v>
      </c>
      <c r="CW1129">
        <v>6480368</v>
      </c>
      <c r="CY1129">
        <v>1</v>
      </c>
      <c r="CZ1129">
        <v>0</v>
      </c>
      <c r="DA1129">
        <v>0</v>
      </c>
      <c r="DB1129">
        <v>0</v>
      </c>
      <c r="DC1129">
        <v>0</v>
      </c>
      <c r="DD1129">
        <v>1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"12/16/2021 14:47:39.304"</f>
        <v>12/16/2021 14:47:39.304</v>
      </c>
      <c r="C1130" t="str">
        <f t="shared" si="52"/>
        <v>FFDFD3C0</v>
      </c>
      <c r="D1130" t="s">
        <v>113</v>
      </c>
      <c r="E1130">
        <v>8</v>
      </c>
      <c r="H1130">
        <v>176</v>
      </c>
      <c r="I1130" t="s">
        <v>114</v>
      </c>
      <c r="J1130" t="s">
        <v>115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"14:47:39.063"</f>
        <v>14:47:39.063</v>
      </c>
      <c r="T1130" t="str">
        <f>"14:47:38.663"</f>
        <v>14:47:38.663</v>
      </c>
      <c r="U1130" t="str">
        <f t="shared" si="51"/>
        <v>A0F928</v>
      </c>
      <c r="V1130">
        <v>0</v>
      </c>
      <c r="W1130">
        <v>0</v>
      </c>
      <c r="X1130">
        <v>2</v>
      </c>
      <c r="Z1130">
        <v>0</v>
      </c>
      <c r="AA1130">
        <v>9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2</v>
      </c>
      <c r="AH1130">
        <v>1</v>
      </c>
      <c r="AI1130" t="s">
        <v>650</v>
      </c>
      <c r="AJ1130">
        <v>35.838475000000003</v>
      </c>
      <c r="AK1130" t="s">
        <v>651</v>
      </c>
      <c r="AL1130">
        <v>-83.958506999999997</v>
      </c>
      <c r="AM1130">
        <v>25</v>
      </c>
      <c r="AN1130">
        <v>1100</v>
      </c>
      <c r="AO1130" t="s">
        <v>118</v>
      </c>
      <c r="AP1130">
        <v>-66</v>
      </c>
      <c r="AQ1130">
        <v>-63</v>
      </c>
      <c r="AR1130">
        <v>-576</v>
      </c>
      <c r="AZ1130">
        <v>300</v>
      </c>
      <c r="BA1130">
        <v>1</v>
      </c>
      <c r="BB1130" t="str">
        <f t="shared" si="53"/>
        <v xml:space="preserve">N162AM  </v>
      </c>
      <c r="BC1130">
        <v>1</v>
      </c>
      <c r="BE1130">
        <v>0</v>
      </c>
      <c r="BF1130">
        <v>0</v>
      </c>
      <c r="BG1130">
        <v>0</v>
      </c>
      <c r="BH1130">
        <v>1350</v>
      </c>
      <c r="BI1130">
        <v>1</v>
      </c>
      <c r="BJ1130">
        <v>1</v>
      </c>
      <c r="BK1130">
        <v>1</v>
      </c>
      <c r="BL1130">
        <v>0</v>
      </c>
      <c r="BO1130">
        <v>0</v>
      </c>
      <c r="BP1130">
        <v>0</v>
      </c>
      <c r="BW1130" t="str">
        <f>"14:47:39.063"</f>
        <v>14:47:39.063</v>
      </c>
      <c r="CJ1130">
        <v>3</v>
      </c>
      <c r="CK1130">
        <v>2</v>
      </c>
      <c r="CL1130">
        <v>0</v>
      </c>
      <c r="CM1130">
        <v>2</v>
      </c>
      <c r="CN1130">
        <v>0</v>
      </c>
      <c r="CO1130">
        <v>5</v>
      </c>
      <c r="CP1130" t="s">
        <v>119</v>
      </c>
      <c r="CQ1130">
        <v>232</v>
      </c>
      <c r="CR1130">
        <v>2</v>
      </c>
      <c r="CW1130">
        <v>6480368</v>
      </c>
      <c r="CY1130">
        <v>1</v>
      </c>
      <c r="CZ1130">
        <v>0</v>
      </c>
      <c r="DA1130">
        <v>1</v>
      </c>
      <c r="DB1130">
        <v>0</v>
      </c>
      <c r="DC1130">
        <v>0</v>
      </c>
      <c r="DD1130">
        <v>1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"12/16/2021 14:47:39.304"</f>
        <v>12/16/2021 14:47:39.304</v>
      </c>
      <c r="C1131" t="str">
        <f t="shared" si="52"/>
        <v>FFDFD3C0</v>
      </c>
      <c r="D1131" t="s">
        <v>124</v>
      </c>
      <c r="E1131">
        <v>10</v>
      </c>
      <c r="F1131">
        <v>1010</v>
      </c>
      <c r="G1131" t="s">
        <v>130</v>
      </c>
      <c r="J1131" t="s">
        <v>125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"14:47:39.063"</f>
        <v>14:47:39.063</v>
      </c>
      <c r="T1131" t="str">
        <f>"14:47:38.663"</f>
        <v>14:47:38.663</v>
      </c>
      <c r="U1131" t="str">
        <f t="shared" si="51"/>
        <v>A0F928</v>
      </c>
      <c r="V1131">
        <v>0</v>
      </c>
      <c r="W1131">
        <v>0</v>
      </c>
      <c r="X1131">
        <v>2</v>
      </c>
      <c r="Z1131">
        <v>0</v>
      </c>
      <c r="AA1131">
        <v>9</v>
      </c>
      <c r="AB1131">
        <v>3</v>
      </c>
      <c r="AC1131">
        <v>0</v>
      </c>
      <c r="AD1131">
        <v>10</v>
      </c>
      <c r="AE1131">
        <v>0</v>
      </c>
      <c r="AF1131">
        <v>0</v>
      </c>
      <c r="AG1131">
        <v>2</v>
      </c>
      <c r="AH1131">
        <v>1</v>
      </c>
      <c r="AI1131" t="s">
        <v>650</v>
      </c>
      <c r="AJ1131">
        <v>35.838475000000003</v>
      </c>
      <c r="AK1131" t="s">
        <v>651</v>
      </c>
      <c r="AL1131">
        <v>-83.958506999999997</v>
      </c>
      <c r="AM1131">
        <v>25</v>
      </c>
      <c r="AN1131">
        <v>1100</v>
      </c>
      <c r="AO1131" t="s">
        <v>118</v>
      </c>
      <c r="AP1131">
        <v>-66</v>
      </c>
      <c r="AQ1131">
        <v>-63</v>
      </c>
      <c r="AR1131">
        <v>-576</v>
      </c>
      <c r="AZ1131">
        <v>300</v>
      </c>
      <c r="BA1131">
        <v>1</v>
      </c>
      <c r="BB1131" t="str">
        <f t="shared" si="53"/>
        <v xml:space="preserve">N162AM  </v>
      </c>
      <c r="BC1131">
        <v>1</v>
      </c>
      <c r="BE1131">
        <v>0</v>
      </c>
      <c r="BF1131">
        <v>0</v>
      </c>
      <c r="BG1131">
        <v>0</v>
      </c>
      <c r="BH1131">
        <v>1350</v>
      </c>
      <c r="BI1131">
        <v>1</v>
      </c>
      <c r="BJ1131">
        <v>1</v>
      </c>
      <c r="BK1131">
        <v>1</v>
      </c>
      <c r="BL1131">
        <v>0</v>
      </c>
      <c r="BO1131">
        <v>0</v>
      </c>
      <c r="BP1131">
        <v>0</v>
      </c>
      <c r="BW1131" t="str">
        <f>"14:47:39.063"</f>
        <v>14:47:39.063</v>
      </c>
      <c r="CJ1131">
        <v>2</v>
      </c>
      <c r="CK1131">
        <v>2</v>
      </c>
      <c r="CL1131">
        <v>0</v>
      </c>
      <c r="CM1131">
        <v>2</v>
      </c>
      <c r="CN1131">
        <v>0</v>
      </c>
      <c r="CO1131">
        <v>5</v>
      </c>
      <c r="CP1131" t="s">
        <v>119</v>
      </c>
      <c r="CQ1131">
        <v>232</v>
      </c>
      <c r="CR1131">
        <v>2</v>
      </c>
      <c r="CW1131">
        <v>6480368</v>
      </c>
      <c r="CY1131">
        <v>1</v>
      </c>
      <c r="CZ1131">
        <v>0</v>
      </c>
      <c r="DA1131">
        <v>1</v>
      </c>
      <c r="DB1131">
        <v>0</v>
      </c>
      <c r="DC1131">
        <v>0</v>
      </c>
      <c r="DD1131">
        <v>1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"12/16/2021 14:47:39.335"</f>
        <v>12/16/2021 14:47:39.335</v>
      </c>
      <c r="C1132" t="str">
        <f t="shared" si="52"/>
        <v>FFDFD3C0</v>
      </c>
      <c r="D1132" t="s">
        <v>124</v>
      </c>
      <c r="E1132">
        <v>5</v>
      </c>
      <c r="F1132">
        <v>1005</v>
      </c>
      <c r="G1132" t="s">
        <v>114</v>
      </c>
      <c r="J1132" t="s">
        <v>125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"14:47:39.063"</f>
        <v>14:47:39.063</v>
      </c>
      <c r="T1132" t="str">
        <f>"14:47:38.663"</f>
        <v>14:47:38.663</v>
      </c>
      <c r="U1132" t="str">
        <f t="shared" si="51"/>
        <v>A0F928</v>
      </c>
      <c r="V1132">
        <v>0</v>
      </c>
      <c r="W1132">
        <v>0</v>
      </c>
      <c r="X1132">
        <v>2</v>
      </c>
      <c r="Z1132">
        <v>0</v>
      </c>
      <c r="AA1132">
        <v>9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2</v>
      </c>
      <c r="AH1132">
        <v>1</v>
      </c>
      <c r="AI1132" t="s">
        <v>650</v>
      </c>
      <c r="AJ1132">
        <v>35.838475000000003</v>
      </c>
      <c r="AK1132" t="s">
        <v>651</v>
      </c>
      <c r="AL1132">
        <v>-83.958506999999997</v>
      </c>
      <c r="AM1132">
        <v>25</v>
      </c>
      <c r="AN1132">
        <v>1100</v>
      </c>
      <c r="AO1132" t="s">
        <v>118</v>
      </c>
      <c r="AP1132">
        <v>-66</v>
      </c>
      <c r="AQ1132">
        <v>-63</v>
      </c>
      <c r="AR1132">
        <v>-576</v>
      </c>
      <c r="AZ1132">
        <v>300</v>
      </c>
      <c r="BA1132">
        <v>1</v>
      </c>
      <c r="BB1132" t="str">
        <f t="shared" si="53"/>
        <v xml:space="preserve">N162AM  </v>
      </c>
      <c r="BC1132">
        <v>1</v>
      </c>
      <c r="BE1132">
        <v>0</v>
      </c>
      <c r="BF1132">
        <v>0</v>
      </c>
      <c r="BG1132">
        <v>0</v>
      </c>
      <c r="BH1132">
        <v>1350</v>
      </c>
      <c r="BI1132">
        <v>1</v>
      </c>
      <c r="BJ1132">
        <v>1</v>
      </c>
      <c r="BK1132">
        <v>1</v>
      </c>
      <c r="BL1132">
        <v>0</v>
      </c>
      <c r="BO1132">
        <v>0</v>
      </c>
      <c r="BP1132">
        <v>0</v>
      </c>
      <c r="BW1132" t="str">
        <f>"14:47:39.063"</f>
        <v>14:47:39.063</v>
      </c>
      <c r="CJ1132">
        <v>3</v>
      </c>
      <c r="CK1132">
        <v>2</v>
      </c>
      <c r="CL1132">
        <v>0</v>
      </c>
      <c r="CM1132">
        <v>2</v>
      </c>
      <c r="CN1132">
        <v>0</v>
      </c>
      <c r="CO1132">
        <v>5</v>
      </c>
      <c r="CP1132" t="s">
        <v>119</v>
      </c>
      <c r="CQ1132">
        <v>232</v>
      </c>
      <c r="CR1132">
        <v>2</v>
      </c>
      <c r="CW1132">
        <v>6480368</v>
      </c>
      <c r="CY1132">
        <v>1</v>
      </c>
      <c r="CZ1132">
        <v>0</v>
      </c>
      <c r="DA1132">
        <v>1</v>
      </c>
      <c r="DB1132">
        <v>0</v>
      </c>
      <c r="DC1132">
        <v>0</v>
      </c>
      <c r="DD1132">
        <v>1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"12/16/2021 14:47:40.240"</f>
        <v>12/16/2021 14:47:40.240</v>
      </c>
      <c r="C1133" t="str">
        <f t="shared" si="52"/>
        <v>FFDFD3C0</v>
      </c>
      <c r="D1133" t="s">
        <v>133</v>
      </c>
      <c r="E1133">
        <v>44</v>
      </c>
      <c r="H1133">
        <v>131</v>
      </c>
      <c r="I1133" t="s">
        <v>134</v>
      </c>
      <c r="J1133" t="s">
        <v>135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"14:47:40.039"</f>
        <v>14:47:40.039</v>
      </c>
      <c r="T1133" t="str">
        <f>"14:47:39.539"</f>
        <v>14:47:39.539</v>
      </c>
      <c r="U1133" t="str">
        <f t="shared" si="51"/>
        <v>A0F928</v>
      </c>
      <c r="V1133">
        <v>0</v>
      </c>
      <c r="W1133">
        <v>0</v>
      </c>
      <c r="X1133">
        <v>2</v>
      </c>
      <c r="Z1133">
        <v>0</v>
      </c>
      <c r="AA1133">
        <v>9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2</v>
      </c>
      <c r="AH1133">
        <v>1</v>
      </c>
      <c r="AI1133" t="s">
        <v>652</v>
      </c>
      <c r="AJ1133">
        <v>35.838175</v>
      </c>
      <c r="AK1133" t="s">
        <v>653</v>
      </c>
      <c r="AL1133">
        <v>-83.958827999999997</v>
      </c>
      <c r="AM1133">
        <v>25</v>
      </c>
      <c r="AN1133">
        <v>1100</v>
      </c>
      <c r="AO1133" t="s">
        <v>118</v>
      </c>
      <c r="AP1133">
        <v>-62</v>
      </c>
      <c r="AQ1133">
        <v>-67</v>
      </c>
      <c r="AR1133">
        <v>-576</v>
      </c>
      <c r="AZ1133">
        <v>300</v>
      </c>
      <c r="BA1133">
        <v>1</v>
      </c>
      <c r="BB1133" t="str">
        <f t="shared" si="53"/>
        <v xml:space="preserve">N162AM  </v>
      </c>
      <c r="BC1133">
        <v>1</v>
      </c>
      <c r="BE1133">
        <v>0</v>
      </c>
      <c r="BF1133">
        <v>0</v>
      </c>
      <c r="BG1133">
        <v>0</v>
      </c>
      <c r="BH1133">
        <v>1350</v>
      </c>
      <c r="BI1133">
        <v>1</v>
      </c>
      <c r="BJ1133">
        <v>1</v>
      </c>
      <c r="BK1133">
        <v>1</v>
      </c>
      <c r="BL1133">
        <v>0</v>
      </c>
      <c r="BO1133">
        <v>0</v>
      </c>
      <c r="BP1133">
        <v>0</v>
      </c>
      <c r="BW1133" t="str">
        <f>"14:47:40.039"</f>
        <v>14:47:40.039</v>
      </c>
      <c r="CJ1133">
        <v>3</v>
      </c>
      <c r="CK1133">
        <v>2</v>
      </c>
      <c r="CL1133">
        <v>0</v>
      </c>
      <c r="CM1133">
        <v>2</v>
      </c>
      <c r="CN1133">
        <v>0</v>
      </c>
      <c r="CO1133">
        <v>5</v>
      </c>
      <c r="CP1133" t="s">
        <v>119</v>
      </c>
      <c r="CQ1133">
        <v>232</v>
      </c>
      <c r="CR1133">
        <v>1</v>
      </c>
      <c r="CW1133">
        <v>15288154</v>
      </c>
      <c r="CY1133">
        <v>1</v>
      </c>
      <c r="CZ1133">
        <v>0</v>
      </c>
      <c r="DA1133">
        <v>0</v>
      </c>
      <c r="DB1133">
        <v>0</v>
      </c>
      <c r="DC1133">
        <v>0</v>
      </c>
      <c r="DD1133">
        <v>1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>"12/16/2021 14:47:40.287"</f>
        <v>12/16/2021 14:47:40.287</v>
      </c>
      <c r="C1134" t="str">
        <f t="shared" si="52"/>
        <v>FFDFD3C0</v>
      </c>
      <c r="D1134" t="s">
        <v>124</v>
      </c>
      <c r="E1134">
        <v>10</v>
      </c>
      <c r="F1134">
        <v>1010</v>
      </c>
      <c r="G1134" t="s">
        <v>130</v>
      </c>
      <c r="J1134" t="s">
        <v>125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"14:47:40.039"</f>
        <v>14:47:40.039</v>
      </c>
      <c r="T1134" t="str">
        <f>"14:47:39.539"</f>
        <v>14:47:39.539</v>
      </c>
      <c r="U1134" t="str">
        <f t="shared" si="51"/>
        <v>A0F928</v>
      </c>
      <c r="V1134">
        <v>0</v>
      </c>
      <c r="W1134">
        <v>0</v>
      </c>
      <c r="X1134">
        <v>2</v>
      </c>
      <c r="Z1134">
        <v>0</v>
      </c>
      <c r="AA1134">
        <v>9</v>
      </c>
      <c r="AB1134">
        <v>3</v>
      </c>
      <c r="AC1134">
        <v>0</v>
      </c>
      <c r="AD1134">
        <v>10</v>
      </c>
      <c r="AE1134">
        <v>0</v>
      </c>
      <c r="AF1134">
        <v>0</v>
      </c>
      <c r="AG1134">
        <v>2</v>
      </c>
      <c r="AH1134">
        <v>1</v>
      </c>
      <c r="AI1134" t="s">
        <v>652</v>
      </c>
      <c r="AJ1134">
        <v>35.838175</v>
      </c>
      <c r="AK1134" t="s">
        <v>653</v>
      </c>
      <c r="AL1134">
        <v>-83.958827999999997</v>
      </c>
      <c r="AM1134">
        <v>25</v>
      </c>
      <c r="AN1134">
        <v>1100</v>
      </c>
      <c r="AO1134" t="s">
        <v>118</v>
      </c>
      <c r="AP1134">
        <v>-62</v>
      </c>
      <c r="AQ1134">
        <v>-67</v>
      </c>
      <c r="AR1134">
        <v>-576</v>
      </c>
      <c r="AZ1134">
        <v>300</v>
      </c>
      <c r="BA1134">
        <v>1</v>
      </c>
      <c r="BB1134" t="str">
        <f t="shared" si="53"/>
        <v xml:space="preserve">N162AM  </v>
      </c>
      <c r="BC1134">
        <v>1</v>
      </c>
      <c r="BE1134">
        <v>0</v>
      </c>
      <c r="BF1134">
        <v>0</v>
      </c>
      <c r="BG1134">
        <v>0</v>
      </c>
      <c r="BH1134">
        <v>1350</v>
      </c>
      <c r="BI1134">
        <v>1</v>
      </c>
      <c r="BJ1134">
        <v>1</v>
      </c>
      <c r="BK1134">
        <v>1</v>
      </c>
      <c r="BL1134">
        <v>0</v>
      </c>
      <c r="BO1134">
        <v>0</v>
      </c>
      <c r="BP1134">
        <v>0</v>
      </c>
      <c r="BW1134" t="str">
        <f>"14:47:40.039"</f>
        <v>14:47:40.039</v>
      </c>
      <c r="CJ1134">
        <v>2</v>
      </c>
      <c r="CK1134">
        <v>2</v>
      </c>
      <c r="CL1134">
        <v>0</v>
      </c>
      <c r="CM1134">
        <v>2</v>
      </c>
      <c r="CN1134">
        <v>0</v>
      </c>
      <c r="CO1134">
        <v>5</v>
      </c>
      <c r="CP1134" t="s">
        <v>119</v>
      </c>
      <c r="CQ1134">
        <v>232</v>
      </c>
      <c r="CR1134">
        <v>1</v>
      </c>
      <c r="CW1134">
        <v>15288154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1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>"12/16/2021 14:47:40.287"</f>
        <v>12/16/2021 14:47:40.287</v>
      </c>
      <c r="C1135" t="str">
        <f t="shared" si="52"/>
        <v>FFDFD3C0</v>
      </c>
      <c r="D1135" t="s">
        <v>113</v>
      </c>
      <c r="E1135">
        <v>8</v>
      </c>
      <c r="H1135">
        <v>176</v>
      </c>
      <c r="I1135" t="s">
        <v>114</v>
      </c>
      <c r="J1135" t="s">
        <v>115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"14:47:40.039"</f>
        <v>14:47:40.039</v>
      </c>
      <c r="T1135" t="str">
        <f>"14:47:39.539"</f>
        <v>14:47:39.539</v>
      </c>
      <c r="U1135" t="str">
        <f t="shared" si="51"/>
        <v>A0F928</v>
      </c>
      <c r="V1135">
        <v>0</v>
      </c>
      <c r="W1135">
        <v>0</v>
      </c>
      <c r="X1135">
        <v>2</v>
      </c>
      <c r="Z1135">
        <v>0</v>
      </c>
      <c r="AA1135">
        <v>9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2</v>
      </c>
      <c r="AH1135">
        <v>1</v>
      </c>
      <c r="AI1135" t="s">
        <v>652</v>
      </c>
      <c r="AJ1135">
        <v>35.838175</v>
      </c>
      <c r="AK1135" t="s">
        <v>653</v>
      </c>
      <c r="AL1135">
        <v>-83.958827999999997</v>
      </c>
      <c r="AM1135">
        <v>25</v>
      </c>
      <c r="AN1135">
        <v>1100</v>
      </c>
      <c r="AO1135" t="s">
        <v>118</v>
      </c>
      <c r="AP1135">
        <v>-62</v>
      </c>
      <c r="AQ1135">
        <v>-67</v>
      </c>
      <c r="AR1135">
        <v>-576</v>
      </c>
      <c r="AZ1135">
        <v>300</v>
      </c>
      <c r="BA1135">
        <v>1</v>
      </c>
      <c r="BB1135" t="str">
        <f t="shared" si="53"/>
        <v xml:space="preserve">N162AM  </v>
      </c>
      <c r="BC1135">
        <v>1</v>
      </c>
      <c r="BE1135">
        <v>0</v>
      </c>
      <c r="BF1135">
        <v>0</v>
      </c>
      <c r="BG1135">
        <v>0</v>
      </c>
      <c r="BH1135">
        <v>1350</v>
      </c>
      <c r="BI1135">
        <v>1</v>
      </c>
      <c r="BJ1135">
        <v>1</v>
      </c>
      <c r="BK1135">
        <v>1</v>
      </c>
      <c r="BL1135">
        <v>0</v>
      </c>
      <c r="BO1135">
        <v>0</v>
      </c>
      <c r="BP1135">
        <v>0</v>
      </c>
      <c r="BW1135" t="str">
        <f>"14:47:40.039"</f>
        <v>14:47:40.039</v>
      </c>
      <c r="CJ1135">
        <v>3</v>
      </c>
      <c r="CK1135">
        <v>2</v>
      </c>
      <c r="CL1135">
        <v>0</v>
      </c>
      <c r="CM1135">
        <v>2</v>
      </c>
      <c r="CN1135">
        <v>0</v>
      </c>
      <c r="CO1135">
        <v>5</v>
      </c>
      <c r="CP1135" t="s">
        <v>119</v>
      </c>
      <c r="CQ1135">
        <v>232</v>
      </c>
      <c r="CR1135">
        <v>1</v>
      </c>
      <c r="CW1135">
        <v>15288154</v>
      </c>
      <c r="CY1135">
        <v>1</v>
      </c>
      <c r="CZ1135">
        <v>0</v>
      </c>
      <c r="DA1135">
        <v>1</v>
      </c>
      <c r="DB1135">
        <v>0</v>
      </c>
      <c r="DC1135">
        <v>0</v>
      </c>
      <c r="DD1135">
        <v>1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>"12/16/2021 14:47:40.287"</f>
        <v>12/16/2021 14:47:40.287</v>
      </c>
      <c r="C1136" t="str">
        <f t="shared" si="52"/>
        <v>FFDFD3C0</v>
      </c>
      <c r="D1136" t="s">
        <v>124</v>
      </c>
      <c r="E1136">
        <v>5</v>
      </c>
      <c r="F1136">
        <v>1005</v>
      </c>
      <c r="G1136" t="s">
        <v>114</v>
      </c>
      <c r="J1136" t="s">
        <v>125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"14:47:40.039"</f>
        <v>14:47:40.039</v>
      </c>
      <c r="T1136" t="str">
        <f>"14:47:39.539"</f>
        <v>14:47:39.539</v>
      </c>
      <c r="U1136" t="str">
        <f t="shared" si="51"/>
        <v>A0F928</v>
      </c>
      <c r="V1136">
        <v>0</v>
      </c>
      <c r="W1136">
        <v>0</v>
      </c>
      <c r="X1136">
        <v>2</v>
      </c>
      <c r="Z1136">
        <v>0</v>
      </c>
      <c r="AA1136">
        <v>9</v>
      </c>
      <c r="AB1136">
        <v>3</v>
      </c>
      <c r="AC1136">
        <v>0</v>
      </c>
      <c r="AD1136">
        <v>10</v>
      </c>
      <c r="AE1136">
        <v>0</v>
      </c>
      <c r="AF1136">
        <v>3</v>
      </c>
      <c r="AG1136">
        <v>2</v>
      </c>
      <c r="AH1136">
        <v>1</v>
      </c>
      <c r="AI1136" t="s">
        <v>652</v>
      </c>
      <c r="AJ1136">
        <v>35.838175</v>
      </c>
      <c r="AK1136" t="s">
        <v>653</v>
      </c>
      <c r="AL1136">
        <v>-83.958827999999997</v>
      </c>
      <c r="AM1136">
        <v>25</v>
      </c>
      <c r="AN1136">
        <v>1100</v>
      </c>
      <c r="AO1136" t="s">
        <v>118</v>
      </c>
      <c r="AP1136">
        <v>-62</v>
      </c>
      <c r="AQ1136">
        <v>-67</v>
      </c>
      <c r="AR1136">
        <v>-576</v>
      </c>
      <c r="AZ1136">
        <v>300</v>
      </c>
      <c r="BA1136">
        <v>1</v>
      </c>
      <c r="BB1136" t="str">
        <f t="shared" si="53"/>
        <v xml:space="preserve">N162AM  </v>
      </c>
      <c r="BC1136">
        <v>1</v>
      </c>
      <c r="BE1136">
        <v>0</v>
      </c>
      <c r="BF1136">
        <v>0</v>
      </c>
      <c r="BG1136">
        <v>0</v>
      </c>
      <c r="BH1136">
        <v>1350</v>
      </c>
      <c r="BI1136">
        <v>1</v>
      </c>
      <c r="BJ1136">
        <v>1</v>
      </c>
      <c r="BK1136">
        <v>1</v>
      </c>
      <c r="BL1136">
        <v>0</v>
      </c>
      <c r="BO1136">
        <v>0</v>
      </c>
      <c r="BP1136">
        <v>0</v>
      </c>
      <c r="BW1136" t="str">
        <f>"14:47:40.039"</f>
        <v>14:47:40.039</v>
      </c>
      <c r="CJ1136">
        <v>3</v>
      </c>
      <c r="CK1136">
        <v>2</v>
      </c>
      <c r="CL1136">
        <v>0</v>
      </c>
      <c r="CM1136">
        <v>2</v>
      </c>
      <c r="CN1136">
        <v>0</v>
      </c>
      <c r="CO1136">
        <v>5</v>
      </c>
      <c r="CP1136" t="s">
        <v>119</v>
      </c>
      <c r="CQ1136">
        <v>232</v>
      </c>
      <c r="CR1136">
        <v>1</v>
      </c>
      <c r="CW1136">
        <v>15288154</v>
      </c>
      <c r="CY1136">
        <v>1</v>
      </c>
      <c r="CZ1136">
        <v>0</v>
      </c>
      <c r="DA1136">
        <v>1</v>
      </c>
      <c r="DB1136">
        <v>0</v>
      </c>
      <c r="DC1136">
        <v>0</v>
      </c>
      <c r="DD1136">
        <v>1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"12/16/2021 14:47:41.303"</f>
        <v>12/16/2021 14:47:41.303</v>
      </c>
      <c r="C1137" t="str">
        <f t="shared" si="52"/>
        <v>FFDFD3C0</v>
      </c>
      <c r="D1137" t="s">
        <v>133</v>
      </c>
      <c r="E1137">
        <v>44</v>
      </c>
      <c r="H1137">
        <v>131</v>
      </c>
      <c r="I1137" t="s">
        <v>134</v>
      </c>
      <c r="J1137" t="s">
        <v>135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"14:47:41.078"</f>
        <v>14:47:41.078</v>
      </c>
      <c r="T1137" t="str">
        <f>"14:47:40.578"</f>
        <v>14:47:40.578</v>
      </c>
      <c r="U1137" t="str">
        <f t="shared" si="51"/>
        <v>A0F928</v>
      </c>
      <c r="V1137">
        <v>0</v>
      </c>
      <c r="W1137">
        <v>0</v>
      </c>
      <c r="X1137">
        <v>2</v>
      </c>
      <c r="Z1137">
        <v>0</v>
      </c>
      <c r="AA1137">
        <v>9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2</v>
      </c>
      <c r="AH1137">
        <v>1</v>
      </c>
      <c r="AI1137" t="s">
        <v>654</v>
      </c>
      <c r="AJ1137">
        <v>35.837831000000001</v>
      </c>
      <c r="AK1137" t="s">
        <v>655</v>
      </c>
      <c r="AL1137">
        <v>-83.959215</v>
      </c>
      <c r="AM1137">
        <v>25</v>
      </c>
      <c r="AN1137">
        <v>1100</v>
      </c>
      <c r="AO1137" t="s">
        <v>118</v>
      </c>
      <c r="AP1137">
        <v>-58</v>
      </c>
      <c r="AQ1137">
        <v>-71</v>
      </c>
      <c r="AR1137">
        <v>-576</v>
      </c>
      <c r="AZ1137">
        <v>300</v>
      </c>
      <c r="BA1137">
        <v>1</v>
      </c>
      <c r="BB1137" t="str">
        <f t="shared" si="53"/>
        <v xml:space="preserve">N162AM  </v>
      </c>
      <c r="BC1137">
        <v>1</v>
      </c>
      <c r="BE1137">
        <v>0</v>
      </c>
      <c r="BF1137">
        <v>0</v>
      </c>
      <c r="BG1137">
        <v>0</v>
      </c>
      <c r="BH1137">
        <v>1350</v>
      </c>
      <c r="BI1137">
        <v>1</v>
      </c>
      <c r="BJ1137">
        <v>1</v>
      </c>
      <c r="BK1137">
        <v>1</v>
      </c>
      <c r="BL1137">
        <v>0</v>
      </c>
      <c r="BO1137">
        <v>0</v>
      </c>
      <c r="BP1137">
        <v>0</v>
      </c>
      <c r="BW1137" t="str">
        <f>"14:47:41.085"</f>
        <v>14:47:41.085</v>
      </c>
      <c r="CJ1137">
        <v>3</v>
      </c>
      <c r="CK1137">
        <v>2</v>
      </c>
      <c r="CL1137">
        <v>0</v>
      </c>
      <c r="CM1137">
        <v>2</v>
      </c>
      <c r="CN1137">
        <v>0</v>
      </c>
      <c r="CO1137">
        <v>5</v>
      </c>
      <c r="CP1137" t="s">
        <v>119</v>
      </c>
      <c r="CQ1137">
        <v>232</v>
      </c>
      <c r="CR1137">
        <v>1</v>
      </c>
      <c r="CW1137">
        <v>15289728</v>
      </c>
      <c r="CY1137">
        <v>1</v>
      </c>
      <c r="CZ1137">
        <v>0</v>
      </c>
      <c r="DA1137">
        <v>0</v>
      </c>
      <c r="DB1137">
        <v>0</v>
      </c>
      <c r="DC1137">
        <v>0</v>
      </c>
      <c r="DD1137">
        <v>1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"12/16/2021 14:47:41.350"</f>
        <v>12/16/2021 14:47:41.350</v>
      </c>
      <c r="C1138" t="str">
        <f t="shared" si="52"/>
        <v>FFDFD3C0</v>
      </c>
      <c r="D1138" t="s">
        <v>124</v>
      </c>
      <c r="E1138">
        <v>10</v>
      </c>
      <c r="F1138">
        <v>1010</v>
      </c>
      <c r="G1138" t="s">
        <v>130</v>
      </c>
      <c r="J1138" t="s">
        <v>125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"14:47:41.078"</f>
        <v>14:47:41.078</v>
      </c>
      <c r="T1138" t="str">
        <f>"14:47:40.578"</f>
        <v>14:47:40.578</v>
      </c>
      <c r="U1138" t="str">
        <f t="shared" si="51"/>
        <v>A0F928</v>
      </c>
      <c r="V1138">
        <v>0</v>
      </c>
      <c r="W1138">
        <v>0</v>
      </c>
      <c r="X1138">
        <v>2</v>
      </c>
      <c r="Z1138">
        <v>0</v>
      </c>
      <c r="AA1138">
        <v>9</v>
      </c>
      <c r="AB1138">
        <v>3</v>
      </c>
      <c r="AC1138">
        <v>0</v>
      </c>
      <c r="AD1138">
        <v>10</v>
      </c>
      <c r="AE1138">
        <v>0</v>
      </c>
      <c r="AF1138">
        <v>0</v>
      </c>
      <c r="AG1138">
        <v>2</v>
      </c>
      <c r="AH1138">
        <v>1</v>
      </c>
      <c r="AI1138" t="s">
        <v>654</v>
      </c>
      <c r="AJ1138">
        <v>35.837831000000001</v>
      </c>
      <c r="AK1138" t="s">
        <v>655</v>
      </c>
      <c r="AL1138">
        <v>-83.959215</v>
      </c>
      <c r="AM1138">
        <v>25</v>
      </c>
      <c r="AN1138">
        <v>1100</v>
      </c>
      <c r="AO1138" t="s">
        <v>118</v>
      </c>
      <c r="AP1138">
        <v>-58</v>
      </c>
      <c r="AQ1138">
        <v>-71</v>
      </c>
      <c r="AR1138">
        <v>-576</v>
      </c>
      <c r="AZ1138">
        <v>300</v>
      </c>
      <c r="BA1138">
        <v>1</v>
      </c>
      <c r="BB1138" t="str">
        <f t="shared" si="53"/>
        <v xml:space="preserve">N162AM  </v>
      </c>
      <c r="BC1138">
        <v>1</v>
      </c>
      <c r="BE1138">
        <v>0</v>
      </c>
      <c r="BF1138">
        <v>0</v>
      </c>
      <c r="BG1138">
        <v>0</v>
      </c>
      <c r="BH1138">
        <v>1350</v>
      </c>
      <c r="BI1138">
        <v>1</v>
      </c>
      <c r="BJ1138">
        <v>1</v>
      </c>
      <c r="BK1138">
        <v>1</v>
      </c>
      <c r="BL1138">
        <v>0</v>
      </c>
      <c r="BO1138">
        <v>0</v>
      </c>
      <c r="BP1138">
        <v>0</v>
      </c>
      <c r="BW1138" t="str">
        <f>"14:47:41.085"</f>
        <v>14:47:41.085</v>
      </c>
      <c r="CJ1138">
        <v>2</v>
      </c>
      <c r="CK1138">
        <v>2</v>
      </c>
      <c r="CL1138">
        <v>0</v>
      </c>
      <c r="CM1138">
        <v>2</v>
      </c>
      <c r="CN1138">
        <v>0</v>
      </c>
      <c r="CO1138">
        <v>5</v>
      </c>
      <c r="CP1138" t="s">
        <v>119</v>
      </c>
      <c r="CQ1138">
        <v>232</v>
      </c>
      <c r="CR1138">
        <v>1</v>
      </c>
      <c r="CW1138">
        <v>15289728</v>
      </c>
      <c r="CY1138">
        <v>1</v>
      </c>
      <c r="CZ1138">
        <v>0</v>
      </c>
      <c r="DA1138">
        <v>1</v>
      </c>
      <c r="DB1138">
        <v>0</v>
      </c>
      <c r="DC1138">
        <v>0</v>
      </c>
      <c r="DD1138">
        <v>1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"12/16/2021 14:47:41.350"</f>
        <v>12/16/2021 14:47:41.350</v>
      </c>
      <c r="C1139" t="str">
        <f t="shared" si="52"/>
        <v>FFDFD3C0</v>
      </c>
      <c r="D1139" t="s">
        <v>113</v>
      </c>
      <c r="E1139">
        <v>8</v>
      </c>
      <c r="H1139">
        <v>176</v>
      </c>
      <c r="I1139" t="s">
        <v>114</v>
      </c>
      <c r="J1139" t="s">
        <v>115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"14:47:41.078"</f>
        <v>14:47:41.078</v>
      </c>
      <c r="T1139" t="str">
        <f>"14:47:40.578"</f>
        <v>14:47:40.578</v>
      </c>
      <c r="U1139" t="str">
        <f t="shared" si="51"/>
        <v>A0F928</v>
      </c>
      <c r="V1139">
        <v>0</v>
      </c>
      <c r="W1139">
        <v>0</v>
      </c>
      <c r="X1139">
        <v>2</v>
      </c>
      <c r="Z1139">
        <v>0</v>
      </c>
      <c r="AA1139">
        <v>9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2</v>
      </c>
      <c r="AH1139">
        <v>1</v>
      </c>
      <c r="AI1139" t="s">
        <v>654</v>
      </c>
      <c r="AJ1139">
        <v>35.837831000000001</v>
      </c>
      <c r="AK1139" t="s">
        <v>655</v>
      </c>
      <c r="AL1139">
        <v>-83.959215</v>
      </c>
      <c r="AM1139">
        <v>25</v>
      </c>
      <c r="AN1139">
        <v>1100</v>
      </c>
      <c r="AO1139" t="s">
        <v>118</v>
      </c>
      <c r="AP1139">
        <v>-58</v>
      </c>
      <c r="AQ1139">
        <v>-71</v>
      </c>
      <c r="AR1139">
        <v>-576</v>
      </c>
      <c r="AZ1139">
        <v>300</v>
      </c>
      <c r="BA1139">
        <v>1</v>
      </c>
      <c r="BB1139" t="str">
        <f t="shared" si="53"/>
        <v xml:space="preserve">N162AM  </v>
      </c>
      <c r="BC1139">
        <v>1</v>
      </c>
      <c r="BE1139">
        <v>0</v>
      </c>
      <c r="BF1139">
        <v>0</v>
      </c>
      <c r="BG1139">
        <v>0</v>
      </c>
      <c r="BH1139">
        <v>1350</v>
      </c>
      <c r="BI1139">
        <v>1</v>
      </c>
      <c r="BJ1139">
        <v>1</v>
      </c>
      <c r="BK1139">
        <v>1</v>
      </c>
      <c r="BL1139">
        <v>0</v>
      </c>
      <c r="BO1139">
        <v>0</v>
      </c>
      <c r="BP1139">
        <v>0</v>
      </c>
      <c r="BW1139" t="str">
        <f>"14:47:41.085"</f>
        <v>14:47:41.085</v>
      </c>
      <c r="CJ1139">
        <v>3</v>
      </c>
      <c r="CK1139">
        <v>2</v>
      </c>
      <c r="CL1139">
        <v>0</v>
      </c>
      <c r="CM1139">
        <v>2</v>
      </c>
      <c r="CN1139">
        <v>0</v>
      </c>
      <c r="CO1139">
        <v>5</v>
      </c>
      <c r="CP1139" t="s">
        <v>119</v>
      </c>
      <c r="CQ1139">
        <v>232</v>
      </c>
      <c r="CR1139">
        <v>1</v>
      </c>
      <c r="CW1139">
        <v>15289728</v>
      </c>
      <c r="CY1139">
        <v>1</v>
      </c>
      <c r="CZ1139">
        <v>0</v>
      </c>
      <c r="DA1139">
        <v>1</v>
      </c>
      <c r="DB1139">
        <v>0</v>
      </c>
      <c r="DC1139">
        <v>0</v>
      </c>
      <c r="DD1139">
        <v>1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"12/16/2021 14:47:41.350"</f>
        <v>12/16/2021 14:47:41.350</v>
      </c>
      <c r="C1140" t="str">
        <f t="shared" si="52"/>
        <v>FFDFD3C0</v>
      </c>
      <c r="D1140" t="s">
        <v>124</v>
      </c>
      <c r="E1140">
        <v>5</v>
      </c>
      <c r="F1140">
        <v>1005</v>
      </c>
      <c r="G1140" t="s">
        <v>114</v>
      </c>
      <c r="J1140" t="s">
        <v>125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"14:47:41.078"</f>
        <v>14:47:41.078</v>
      </c>
      <c r="T1140" t="str">
        <f>"14:47:40.578"</f>
        <v>14:47:40.578</v>
      </c>
      <c r="U1140" t="str">
        <f t="shared" si="51"/>
        <v>A0F928</v>
      </c>
      <c r="V1140">
        <v>0</v>
      </c>
      <c r="W1140">
        <v>0</v>
      </c>
      <c r="X1140">
        <v>2</v>
      </c>
      <c r="Z1140">
        <v>0</v>
      </c>
      <c r="AA1140">
        <v>9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2</v>
      </c>
      <c r="AH1140">
        <v>1</v>
      </c>
      <c r="AI1140" t="s">
        <v>654</v>
      </c>
      <c r="AJ1140">
        <v>35.837831000000001</v>
      </c>
      <c r="AK1140" t="s">
        <v>655</v>
      </c>
      <c r="AL1140">
        <v>-83.959215</v>
      </c>
      <c r="AM1140">
        <v>25</v>
      </c>
      <c r="AN1140">
        <v>1100</v>
      </c>
      <c r="AO1140" t="s">
        <v>118</v>
      </c>
      <c r="AP1140">
        <v>-58</v>
      </c>
      <c r="AQ1140">
        <v>-71</v>
      </c>
      <c r="AR1140">
        <v>-576</v>
      </c>
      <c r="AZ1140">
        <v>300</v>
      </c>
      <c r="BA1140">
        <v>1</v>
      </c>
      <c r="BB1140" t="str">
        <f t="shared" si="53"/>
        <v xml:space="preserve">N162AM  </v>
      </c>
      <c r="BC1140">
        <v>1</v>
      </c>
      <c r="BE1140">
        <v>0</v>
      </c>
      <c r="BF1140">
        <v>0</v>
      </c>
      <c r="BG1140">
        <v>0</v>
      </c>
      <c r="BH1140">
        <v>1350</v>
      </c>
      <c r="BI1140">
        <v>1</v>
      </c>
      <c r="BJ1140">
        <v>1</v>
      </c>
      <c r="BK1140">
        <v>1</v>
      </c>
      <c r="BL1140">
        <v>0</v>
      </c>
      <c r="BO1140">
        <v>0</v>
      </c>
      <c r="BP1140">
        <v>0</v>
      </c>
      <c r="BW1140" t="str">
        <f>"14:47:41.085"</f>
        <v>14:47:41.085</v>
      </c>
      <c r="CJ1140">
        <v>3</v>
      </c>
      <c r="CK1140">
        <v>2</v>
      </c>
      <c r="CL1140">
        <v>0</v>
      </c>
      <c r="CM1140">
        <v>2</v>
      </c>
      <c r="CN1140">
        <v>0</v>
      </c>
      <c r="CO1140">
        <v>5</v>
      </c>
      <c r="CP1140" t="s">
        <v>119</v>
      </c>
      <c r="CQ1140">
        <v>232</v>
      </c>
      <c r="CR1140">
        <v>1</v>
      </c>
      <c r="CW1140">
        <v>15289728</v>
      </c>
      <c r="CY1140">
        <v>1</v>
      </c>
      <c r="CZ1140">
        <v>0</v>
      </c>
      <c r="DA1140">
        <v>1</v>
      </c>
      <c r="DB1140">
        <v>0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"12/16/2021 14:47:42.912"</f>
        <v>12/16/2021 14:47:42.912</v>
      </c>
      <c r="C1141" t="str">
        <f t="shared" si="52"/>
        <v>FFDFD3C0</v>
      </c>
      <c r="D1141" t="s">
        <v>133</v>
      </c>
      <c r="E1141">
        <v>44</v>
      </c>
      <c r="H1141">
        <v>131</v>
      </c>
      <c r="I1141" t="s">
        <v>134</v>
      </c>
      <c r="J1141" t="s">
        <v>135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"14:47:42.648"</f>
        <v>14:47:42.648</v>
      </c>
      <c r="T1141" t="str">
        <f>"14:47:42.148"</f>
        <v>14:47:42.148</v>
      </c>
      <c r="U1141" t="str">
        <f t="shared" si="51"/>
        <v>A0F928</v>
      </c>
      <c r="V1141">
        <v>0</v>
      </c>
      <c r="W1141">
        <v>0</v>
      </c>
      <c r="X1141">
        <v>2</v>
      </c>
      <c r="Z1141">
        <v>0</v>
      </c>
      <c r="AA1141">
        <v>9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2</v>
      </c>
      <c r="AH1141">
        <v>1</v>
      </c>
      <c r="AI1141" t="s">
        <v>656</v>
      </c>
      <c r="AJ1141">
        <v>35.837251999999999</v>
      </c>
      <c r="AK1141" t="s">
        <v>657</v>
      </c>
      <c r="AL1141">
        <v>-83.959729999999993</v>
      </c>
      <c r="AM1141">
        <v>25</v>
      </c>
      <c r="AN1141">
        <v>1075</v>
      </c>
      <c r="AO1141" t="s">
        <v>118</v>
      </c>
      <c r="AP1141">
        <v>-55</v>
      </c>
      <c r="AQ1141">
        <v>-74</v>
      </c>
      <c r="AR1141">
        <v>-512</v>
      </c>
      <c r="AZ1141">
        <v>300</v>
      </c>
      <c r="BA1141">
        <v>1</v>
      </c>
      <c r="BB1141" t="str">
        <f t="shared" si="53"/>
        <v xml:space="preserve">N162AM  </v>
      </c>
      <c r="BC1141">
        <v>1</v>
      </c>
      <c r="BE1141">
        <v>0</v>
      </c>
      <c r="BF1141">
        <v>0</v>
      </c>
      <c r="BG1141">
        <v>0</v>
      </c>
      <c r="BH1141">
        <v>1325</v>
      </c>
      <c r="BI1141">
        <v>1</v>
      </c>
      <c r="BJ1141">
        <v>1</v>
      </c>
      <c r="BK1141">
        <v>1</v>
      </c>
      <c r="BL1141">
        <v>0</v>
      </c>
      <c r="BO1141">
        <v>0</v>
      </c>
      <c r="BP1141">
        <v>0</v>
      </c>
      <c r="BW1141" t="str">
        <f>"14:47:42.649"</f>
        <v>14:47:42.649</v>
      </c>
      <c r="CJ1141">
        <v>3</v>
      </c>
      <c r="CK1141">
        <v>2</v>
      </c>
      <c r="CL1141">
        <v>0</v>
      </c>
      <c r="CM1141">
        <v>2</v>
      </c>
      <c r="CN1141">
        <v>0</v>
      </c>
      <c r="CO1141">
        <v>5</v>
      </c>
      <c r="CP1141" t="s">
        <v>119</v>
      </c>
      <c r="CQ1141">
        <v>232</v>
      </c>
      <c r="CR1141">
        <v>1</v>
      </c>
      <c r="CW1141">
        <v>15291997</v>
      </c>
      <c r="CY1141">
        <v>1</v>
      </c>
      <c r="CZ1141">
        <v>0</v>
      </c>
      <c r="DA1141">
        <v>0</v>
      </c>
      <c r="DB1141">
        <v>0</v>
      </c>
      <c r="DC1141">
        <v>0</v>
      </c>
      <c r="DD1141">
        <v>1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"12/16/2021 14:47:42.912"</f>
        <v>12/16/2021 14:47:42.912</v>
      </c>
      <c r="C1142" t="str">
        <f t="shared" si="52"/>
        <v>FFDFD3C0</v>
      </c>
      <c r="D1142" t="s">
        <v>124</v>
      </c>
      <c r="E1142">
        <v>10</v>
      </c>
      <c r="F1142">
        <v>1010</v>
      </c>
      <c r="G1142" t="s">
        <v>130</v>
      </c>
      <c r="J1142" t="s">
        <v>125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"14:47:42.648"</f>
        <v>14:47:42.648</v>
      </c>
      <c r="T1142" t="str">
        <f>"14:47:42.148"</f>
        <v>14:47:42.148</v>
      </c>
      <c r="U1142" t="str">
        <f t="shared" si="51"/>
        <v>A0F928</v>
      </c>
      <c r="V1142">
        <v>0</v>
      </c>
      <c r="W1142">
        <v>0</v>
      </c>
      <c r="X1142">
        <v>2</v>
      </c>
      <c r="Z1142">
        <v>0</v>
      </c>
      <c r="AA1142">
        <v>9</v>
      </c>
      <c r="AB1142">
        <v>3</v>
      </c>
      <c r="AC1142">
        <v>0</v>
      </c>
      <c r="AD1142">
        <v>10</v>
      </c>
      <c r="AE1142">
        <v>0</v>
      </c>
      <c r="AF1142">
        <v>0</v>
      </c>
      <c r="AG1142">
        <v>2</v>
      </c>
      <c r="AH1142">
        <v>1</v>
      </c>
      <c r="AI1142" t="s">
        <v>656</v>
      </c>
      <c r="AJ1142">
        <v>35.837251999999999</v>
      </c>
      <c r="AK1142" t="s">
        <v>657</v>
      </c>
      <c r="AL1142">
        <v>-83.959729999999993</v>
      </c>
      <c r="AM1142">
        <v>25</v>
      </c>
      <c r="AN1142">
        <v>1075</v>
      </c>
      <c r="AO1142" t="s">
        <v>118</v>
      </c>
      <c r="AP1142">
        <v>-55</v>
      </c>
      <c r="AQ1142">
        <v>-74</v>
      </c>
      <c r="AR1142">
        <v>-512</v>
      </c>
      <c r="AZ1142">
        <v>300</v>
      </c>
      <c r="BA1142">
        <v>1</v>
      </c>
      <c r="BB1142" t="str">
        <f t="shared" si="53"/>
        <v xml:space="preserve">N162AM  </v>
      </c>
      <c r="BC1142">
        <v>1</v>
      </c>
      <c r="BE1142">
        <v>0</v>
      </c>
      <c r="BF1142">
        <v>0</v>
      </c>
      <c r="BG1142">
        <v>0</v>
      </c>
      <c r="BH1142">
        <v>1325</v>
      </c>
      <c r="BI1142">
        <v>1</v>
      </c>
      <c r="BJ1142">
        <v>1</v>
      </c>
      <c r="BK1142">
        <v>1</v>
      </c>
      <c r="BL1142">
        <v>0</v>
      </c>
      <c r="BO1142">
        <v>0</v>
      </c>
      <c r="BP1142">
        <v>0</v>
      </c>
      <c r="BW1142" t="str">
        <f>"14:47:42.649"</f>
        <v>14:47:42.649</v>
      </c>
      <c r="CJ1142">
        <v>2</v>
      </c>
      <c r="CK1142">
        <v>2</v>
      </c>
      <c r="CL1142">
        <v>0</v>
      </c>
      <c r="CM1142">
        <v>2</v>
      </c>
      <c r="CN1142">
        <v>0</v>
      </c>
      <c r="CO1142">
        <v>5</v>
      </c>
      <c r="CP1142" t="s">
        <v>119</v>
      </c>
      <c r="CQ1142">
        <v>232</v>
      </c>
      <c r="CR1142">
        <v>1</v>
      </c>
      <c r="CW1142">
        <v>15291997</v>
      </c>
      <c r="CY1142">
        <v>1</v>
      </c>
      <c r="CZ1142">
        <v>0</v>
      </c>
      <c r="DA1142">
        <v>1</v>
      </c>
      <c r="DB1142">
        <v>0</v>
      </c>
      <c r="DC1142">
        <v>0</v>
      </c>
      <c r="DD1142">
        <v>1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"12/16/2021 14:47:42.912"</f>
        <v>12/16/2021 14:47:42.912</v>
      </c>
      <c r="C1143" t="str">
        <f t="shared" si="52"/>
        <v>FFDFD3C0</v>
      </c>
      <c r="D1143" t="s">
        <v>113</v>
      </c>
      <c r="E1143">
        <v>8</v>
      </c>
      <c r="H1143">
        <v>176</v>
      </c>
      <c r="I1143" t="s">
        <v>114</v>
      </c>
      <c r="J1143" t="s">
        <v>115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"14:47:42.648"</f>
        <v>14:47:42.648</v>
      </c>
      <c r="T1143" t="str">
        <f>"14:47:42.148"</f>
        <v>14:47:42.148</v>
      </c>
      <c r="U1143" t="str">
        <f t="shared" si="51"/>
        <v>A0F928</v>
      </c>
      <c r="V1143">
        <v>0</v>
      </c>
      <c r="W1143">
        <v>0</v>
      </c>
      <c r="X1143">
        <v>2</v>
      </c>
      <c r="Z1143">
        <v>0</v>
      </c>
      <c r="AA1143">
        <v>9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2</v>
      </c>
      <c r="AH1143">
        <v>1</v>
      </c>
      <c r="AI1143" t="s">
        <v>656</v>
      </c>
      <c r="AJ1143">
        <v>35.837251999999999</v>
      </c>
      <c r="AK1143" t="s">
        <v>657</v>
      </c>
      <c r="AL1143">
        <v>-83.959729999999993</v>
      </c>
      <c r="AM1143">
        <v>25</v>
      </c>
      <c r="AN1143">
        <v>1075</v>
      </c>
      <c r="AO1143" t="s">
        <v>118</v>
      </c>
      <c r="AP1143">
        <v>-55</v>
      </c>
      <c r="AQ1143">
        <v>-74</v>
      </c>
      <c r="AR1143">
        <v>-512</v>
      </c>
      <c r="AZ1143">
        <v>300</v>
      </c>
      <c r="BA1143">
        <v>1</v>
      </c>
      <c r="BB1143" t="str">
        <f t="shared" si="53"/>
        <v xml:space="preserve">N162AM  </v>
      </c>
      <c r="BC1143">
        <v>1</v>
      </c>
      <c r="BE1143">
        <v>0</v>
      </c>
      <c r="BF1143">
        <v>0</v>
      </c>
      <c r="BG1143">
        <v>0</v>
      </c>
      <c r="BH1143">
        <v>1325</v>
      </c>
      <c r="BI1143">
        <v>1</v>
      </c>
      <c r="BJ1143">
        <v>1</v>
      </c>
      <c r="BK1143">
        <v>1</v>
      </c>
      <c r="BL1143">
        <v>0</v>
      </c>
      <c r="BO1143">
        <v>0</v>
      </c>
      <c r="BP1143">
        <v>0</v>
      </c>
      <c r="BW1143" t="str">
        <f>"14:47:42.649"</f>
        <v>14:47:42.649</v>
      </c>
      <c r="CJ1143">
        <v>3</v>
      </c>
      <c r="CK1143">
        <v>2</v>
      </c>
      <c r="CL1143">
        <v>0</v>
      </c>
      <c r="CM1143">
        <v>2</v>
      </c>
      <c r="CN1143">
        <v>0</v>
      </c>
      <c r="CO1143">
        <v>5</v>
      </c>
      <c r="CP1143" t="s">
        <v>119</v>
      </c>
      <c r="CQ1143">
        <v>232</v>
      </c>
      <c r="CR1143">
        <v>1</v>
      </c>
      <c r="CW1143">
        <v>15291997</v>
      </c>
      <c r="CY1143">
        <v>1</v>
      </c>
      <c r="CZ1143">
        <v>0</v>
      </c>
      <c r="DA1143">
        <v>1</v>
      </c>
      <c r="DB1143">
        <v>0</v>
      </c>
      <c r="DC1143">
        <v>0</v>
      </c>
      <c r="DD1143">
        <v>1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"12/16/2021 14:47:42.912"</f>
        <v>12/16/2021 14:47:42.912</v>
      </c>
      <c r="C1144" t="str">
        <f t="shared" si="52"/>
        <v>FFDFD3C0</v>
      </c>
      <c r="D1144" t="s">
        <v>124</v>
      </c>
      <c r="E1144">
        <v>5</v>
      </c>
      <c r="F1144">
        <v>1005</v>
      </c>
      <c r="G1144" t="s">
        <v>114</v>
      </c>
      <c r="J1144" t="s">
        <v>125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"14:47:42.648"</f>
        <v>14:47:42.648</v>
      </c>
      <c r="T1144" t="str">
        <f>"14:47:42.148"</f>
        <v>14:47:42.148</v>
      </c>
      <c r="U1144" t="str">
        <f t="shared" si="51"/>
        <v>A0F928</v>
      </c>
      <c r="V1144">
        <v>0</v>
      </c>
      <c r="W1144">
        <v>0</v>
      </c>
      <c r="X1144">
        <v>2</v>
      </c>
      <c r="Z1144">
        <v>0</v>
      </c>
      <c r="AA1144">
        <v>9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2</v>
      </c>
      <c r="AH1144">
        <v>1</v>
      </c>
      <c r="AI1144" t="s">
        <v>656</v>
      </c>
      <c r="AJ1144">
        <v>35.837251999999999</v>
      </c>
      <c r="AK1144" t="s">
        <v>657</v>
      </c>
      <c r="AL1144">
        <v>-83.959729999999993</v>
      </c>
      <c r="AM1144">
        <v>25</v>
      </c>
      <c r="AN1144">
        <v>1075</v>
      </c>
      <c r="AO1144" t="s">
        <v>118</v>
      </c>
      <c r="AP1144">
        <v>-55</v>
      </c>
      <c r="AQ1144">
        <v>-74</v>
      </c>
      <c r="AR1144">
        <v>-512</v>
      </c>
      <c r="AZ1144">
        <v>300</v>
      </c>
      <c r="BA1144">
        <v>1</v>
      </c>
      <c r="BB1144" t="str">
        <f t="shared" si="53"/>
        <v xml:space="preserve">N162AM  </v>
      </c>
      <c r="BC1144">
        <v>1</v>
      </c>
      <c r="BE1144">
        <v>0</v>
      </c>
      <c r="BF1144">
        <v>0</v>
      </c>
      <c r="BG1144">
        <v>0</v>
      </c>
      <c r="BH1144">
        <v>1325</v>
      </c>
      <c r="BI1144">
        <v>1</v>
      </c>
      <c r="BJ1144">
        <v>1</v>
      </c>
      <c r="BK1144">
        <v>1</v>
      </c>
      <c r="BL1144">
        <v>0</v>
      </c>
      <c r="BO1144">
        <v>0</v>
      </c>
      <c r="BP1144">
        <v>0</v>
      </c>
      <c r="BW1144" t="str">
        <f>"14:47:42.649"</f>
        <v>14:47:42.649</v>
      </c>
      <c r="CJ1144">
        <v>3</v>
      </c>
      <c r="CK1144">
        <v>2</v>
      </c>
      <c r="CL1144">
        <v>0</v>
      </c>
      <c r="CM1144">
        <v>2</v>
      </c>
      <c r="CN1144">
        <v>0</v>
      </c>
      <c r="CO1144">
        <v>5</v>
      </c>
      <c r="CP1144" t="s">
        <v>119</v>
      </c>
      <c r="CQ1144">
        <v>232</v>
      </c>
      <c r="CR1144">
        <v>1</v>
      </c>
      <c r="CW1144">
        <v>15291997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1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"12/16/2021 14:47:43.881"</f>
        <v>12/16/2021 14:47:43.881</v>
      </c>
      <c r="C1145" t="str">
        <f t="shared" si="52"/>
        <v>FFDFD3C0</v>
      </c>
      <c r="D1145" t="s">
        <v>133</v>
      </c>
      <c r="E1145">
        <v>44</v>
      </c>
      <c r="H1145">
        <v>131</v>
      </c>
      <c r="I1145" t="s">
        <v>134</v>
      </c>
      <c r="J1145" t="s">
        <v>135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"14:47:43.664"</f>
        <v>14:47:43.664</v>
      </c>
      <c r="T1145" t="str">
        <f>"14:47:43.264"</f>
        <v>14:47:43.264</v>
      </c>
      <c r="U1145" t="str">
        <f t="shared" si="51"/>
        <v>A0F928</v>
      </c>
      <c r="V1145">
        <v>0</v>
      </c>
      <c r="W1145">
        <v>0</v>
      </c>
      <c r="X1145">
        <v>2</v>
      </c>
      <c r="Z1145">
        <v>0</v>
      </c>
      <c r="AA1145">
        <v>9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2</v>
      </c>
      <c r="AH1145">
        <v>1</v>
      </c>
      <c r="AI1145" t="s">
        <v>658</v>
      </c>
      <c r="AJ1145">
        <v>35.836930000000002</v>
      </c>
      <c r="AK1145" t="s">
        <v>659</v>
      </c>
      <c r="AL1145">
        <v>-83.960030000000003</v>
      </c>
      <c r="AM1145">
        <v>25</v>
      </c>
      <c r="AN1145">
        <v>1050</v>
      </c>
      <c r="AO1145" t="s">
        <v>118</v>
      </c>
      <c r="AP1145">
        <v>-54</v>
      </c>
      <c r="AQ1145">
        <v>-74</v>
      </c>
      <c r="AR1145">
        <v>-512</v>
      </c>
      <c r="AZ1145">
        <v>300</v>
      </c>
      <c r="BA1145">
        <v>1</v>
      </c>
      <c r="BB1145" t="str">
        <f t="shared" si="53"/>
        <v xml:space="preserve">N162AM  </v>
      </c>
      <c r="BC1145">
        <v>1</v>
      </c>
      <c r="BE1145">
        <v>0</v>
      </c>
      <c r="BF1145">
        <v>0</v>
      </c>
      <c r="BG1145">
        <v>0</v>
      </c>
      <c r="BH1145">
        <v>1325</v>
      </c>
      <c r="BI1145">
        <v>1</v>
      </c>
      <c r="BJ1145">
        <v>1</v>
      </c>
      <c r="BK1145">
        <v>1</v>
      </c>
      <c r="BL1145">
        <v>0</v>
      </c>
      <c r="BO1145">
        <v>0</v>
      </c>
      <c r="BP1145">
        <v>0</v>
      </c>
      <c r="BW1145" t="str">
        <f>"14:47:43.667"</f>
        <v>14:47:43.667</v>
      </c>
      <c r="CJ1145">
        <v>3</v>
      </c>
      <c r="CK1145">
        <v>2</v>
      </c>
      <c r="CL1145">
        <v>0</v>
      </c>
      <c r="CM1145">
        <v>2</v>
      </c>
      <c r="CN1145">
        <v>0</v>
      </c>
      <c r="CO1145">
        <v>3</v>
      </c>
      <c r="CP1145" t="s">
        <v>119</v>
      </c>
      <c r="CQ1145">
        <v>232</v>
      </c>
      <c r="CR1145">
        <v>1</v>
      </c>
      <c r="CW1145">
        <v>15293647</v>
      </c>
      <c r="CY1145">
        <v>1</v>
      </c>
      <c r="CZ1145">
        <v>0</v>
      </c>
      <c r="DA1145">
        <v>0</v>
      </c>
      <c r="DB1145">
        <v>0</v>
      </c>
      <c r="DC1145">
        <v>0</v>
      </c>
      <c r="DD1145">
        <v>1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"12/16/2021 14:47:43.928"</f>
        <v>12/16/2021 14:47:43.928</v>
      </c>
      <c r="C1146" t="str">
        <f t="shared" si="52"/>
        <v>FFDFD3C0</v>
      </c>
      <c r="D1146" t="s">
        <v>124</v>
      </c>
      <c r="E1146">
        <v>10</v>
      </c>
      <c r="F1146">
        <v>1010</v>
      </c>
      <c r="G1146" t="s">
        <v>130</v>
      </c>
      <c r="J1146" t="s">
        <v>125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"14:47:43.664"</f>
        <v>14:47:43.664</v>
      </c>
      <c r="T1146" t="str">
        <f>"14:47:43.264"</f>
        <v>14:47:43.264</v>
      </c>
      <c r="U1146" t="str">
        <f t="shared" si="51"/>
        <v>A0F928</v>
      </c>
      <c r="V1146">
        <v>0</v>
      </c>
      <c r="W1146">
        <v>0</v>
      </c>
      <c r="X1146">
        <v>2</v>
      </c>
      <c r="Z1146">
        <v>0</v>
      </c>
      <c r="AA1146">
        <v>9</v>
      </c>
      <c r="AB1146">
        <v>3</v>
      </c>
      <c r="AC1146">
        <v>0</v>
      </c>
      <c r="AD1146">
        <v>10</v>
      </c>
      <c r="AE1146">
        <v>0</v>
      </c>
      <c r="AF1146">
        <v>0</v>
      </c>
      <c r="AG1146">
        <v>2</v>
      </c>
      <c r="AH1146">
        <v>1</v>
      </c>
      <c r="AI1146" t="s">
        <v>658</v>
      </c>
      <c r="AJ1146">
        <v>35.836930000000002</v>
      </c>
      <c r="AK1146" t="s">
        <v>659</v>
      </c>
      <c r="AL1146">
        <v>-83.960030000000003</v>
      </c>
      <c r="AM1146">
        <v>25</v>
      </c>
      <c r="AN1146">
        <v>1050</v>
      </c>
      <c r="AO1146" t="s">
        <v>118</v>
      </c>
      <c r="AP1146">
        <v>-54</v>
      </c>
      <c r="AQ1146">
        <v>-74</v>
      </c>
      <c r="AR1146">
        <v>-512</v>
      </c>
      <c r="AZ1146">
        <v>300</v>
      </c>
      <c r="BA1146">
        <v>1</v>
      </c>
      <c r="BB1146" t="str">
        <f t="shared" si="53"/>
        <v xml:space="preserve">N162AM  </v>
      </c>
      <c r="BC1146">
        <v>1</v>
      </c>
      <c r="BE1146">
        <v>0</v>
      </c>
      <c r="BF1146">
        <v>0</v>
      </c>
      <c r="BG1146">
        <v>0</v>
      </c>
      <c r="BH1146">
        <v>1325</v>
      </c>
      <c r="BI1146">
        <v>1</v>
      </c>
      <c r="BJ1146">
        <v>1</v>
      </c>
      <c r="BK1146">
        <v>1</v>
      </c>
      <c r="BL1146">
        <v>0</v>
      </c>
      <c r="BO1146">
        <v>0</v>
      </c>
      <c r="BP1146">
        <v>0</v>
      </c>
      <c r="BW1146" t="str">
        <f>"14:47:43.667"</f>
        <v>14:47:43.667</v>
      </c>
      <c r="CJ1146">
        <v>2</v>
      </c>
      <c r="CK1146">
        <v>2</v>
      </c>
      <c r="CL1146">
        <v>0</v>
      </c>
      <c r="CM1146">
        <v>2</v>
      </c>
      <c r="CN1146">
        <v>0</v>
      </c>
      <c r="CO1146">
        <v>3</v>
      </c>
      <c r="CP1146" t="s">
        <v>119</v>
      </c>
      <c r="CQ1146">
        <v>232</v>
      </c>
      <c r="CR1146">
        <v>1</v>
      </c>
      <c r="CW1146">
        <v>15293647</v>
      </c>
      <c r="CY1146">
        <v>1</v>
      </c>
      <c r="CZ1146">
        <v>0</v>
      </c>
      <c r="DA1146">
        <v>1</v>
      </c>
      <c r="DB1146">
        <v>0</v>
      </c>
      <c r="DC1146">
        <v>0</v>
      </c>
      <c r="DD1146">
        <v>1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"12/16/2021 14:47:43.944"</f>
        <v>12/16/2021 14:47:43.944</v>
      </c>
      <c r="C1147" t="str">
        <f t="shared" si="52"/>
        <v>FFDFD3C0</v>
      </c>
      <c r="D1147" t="s">
        <v>124</v>
      </c>
      <c r="E1147">
        <v>5</v>
      </c>
      <c r="F1147">
        <v>1005</v>
      </c>
      <c r="G1147" t="s">
        <v>114</v>
      </c>
      <c r="J1147" t="s">
        <v>125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"14:47:43.664"</f>
        <v>14:47:43.664</v>
      </c>
      <c r="T1147" t="str">
        <f>"14:47:43.264"</f>
        <v>14:47:43.264</v>
      </c>
      <c r="U1147" t="str">
        <f t="shared" si="51"/>
        <v>A0F928</v>
      </c>
      <c r="V1147">
        <v>0</v>
      </c>
      <c r="W1147">
        <v>0</v>
      </c>
      <c r="X1147">
        <v>2</v>
      </c>
      <c r="Z1147">
        <v>0</v>
      </c>
      <c r="AA1147">
        <v>9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2</v>
      </c>
      <c r="AH1147">
        <v>1</v>
      </c>
      <c r="AI1147" t="s">
        <v>658</v>
      </c>
      <c r="AJ1147">
        <v>35.836930000000002</v>
      </c>
      <c r="AK1147" t="s">
        <v>659</v>
      </c>
      <c r="AL1147">
        <v>-83.960030000000003</v>
      </c>
      <c r="AM1147">
        <v>25</v>
      </c>
      <c r="AN1147">
        <v>1050</v>
      </c>
      <c r="AO1147" t="s">
        <v>118</v>
      </c>
      <c r="AP1147">
        <v>-54</v>
      </c>
      <c r="AQ1147">
        <v>-74</v>
      </c>
      <c r="AR1147">
        <v>-512</v>
      </c>
      <c r="AZ1147">
        <v>300</v>
      </c>
      <c r="BA1147">
        <v>1</v>
      </c>
      <c r="BB1147" t="str">
        <f t="shared" si="53"/>
        <v xml:space="preserve">N162AM  </v>
      </c>
      <c r="BC1147">
        <v>1</v>
      </c>
      <c r="BE1147">
        <v>0</v>
      </c>
      <c r="BF1147">
        <v>0</v>
      </c>
      <c r="BG1147">
        <v>0</v>
      </c>
      <c r="BH1147">
        <v>1325</v>
      </c>
      <c r="BI1147">
        <v>1</v>
      </c>
      <c r="BJ1147">
        <v>1</v>
      </c>
      <c r="BK1147">
        <v>1</v>
      </c>
      <c r="BL1147">
        <v>0</v>
      </c>
      <c r="BO1147">
        <v>0</v>
      </c>
      <c r="BP1147">
        <v>0</v>
      </c>
      <c r="BW1147" t="str">
        <f>"14:47:43.667"</f>
        <v>14:47:43.667</v>
      </c>
      <c r="CJ1147">
        <v>3</v>
      </c>
      <c r="CK1147">
        <v>2</v>
      </c>
      <c r="CL1147">
        <v>0</v>
      </c>
      <c r="CM1147">
        <v>2</v>
      </c>
      <c r="CN1147">
        <v>0</v>
      </c>
      <c r="CO1147">
        <v>3</v>
      </c>
      <c r="CP1147" t="s">
        <v>119</v>
      </c>
      <c r="CQ1147">
        <v>232</v>
      </c>
      <c r="CR1147">
        <v>1</v>
      </c>
      <c r="CW1147">
        <v>15293647</v>
      </c>
      <c r="CY1147">
        <v>1</v>
      </c>
      <c r="CZ1147">
        <v>0</v>
      </c>
      <c r="DA1147">
        <v>1</v>
      </c>
      <c r="DB1147">
        <v>0</v>
      </c>
      <c r="DC1147">
        <v>0</v>
      </c>
      <c r="DD1147">
        <v>1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"12/16/2021 14:47:43.944"</f>
        <v>12/16/2021 14:47:43.944</v>
      </c>
      <c r="C1148" t="str">
        <f t="shared" si="52"/>
        <v>FFDFD3C0</v>
      </c>
      <c r="D1148" t="s">
        <v>113</v>
      </c>
      <c r="E1148">
        <v>8</v>
      </c>
      <c r="H1148">
        <v>176</v>
      </c>
      <c r="I1148" t="s">
        <v>114</v>
      </c>
      <c r="J1148" t="s">
        <v>115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"14:47:43.664"</f>
        <v>14:47:43.664</v>
      </c>
      <c r="T1148" t="str">
        <f>"14:47:43.264"</f>
        <v>14:47:43.264</v>
      </c>
      <c r="U1148" t="str">
        <f t="shared" si="51"/>
        <v>A0F928</v>
      </c>
      <c r="V1148">
        <v>0</v>
      </c>
      <c r="W1148">
        <v>0</v>
      </c>
      <c r="X1148">
        <v>2</v>
      </c>
      <c r="Z1148">
        <v>0</v>
      </c>
      <c r="AA1148">
        <v>9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2</v>
      </c>
      <c r="AH1148">
        <v>1</v>
      </c>
      <c r="AI1148" t="s">
        <v>658</v>
      </c>
      <c r="AJ1148">
        <v>35.836930000000002</v>
      </c>
      <c r="AK1148" t="s">
        <v>659</v>
      </c>
      <c r="AL1148">
        <v>-83.960030000000003</v>
      </c>
      <c r="AM1148">
        <v>25</v>
      </c>
      <c r="AN1148">
        <v>1050</v>
      </c>
      <c r="AO1148" t="s">
        <v>118</v>
      </c>
      <c r="AP1148">
        <v>-54</v>
      </c>
      <c r="AQ1148">
        <v>-74</v>
      </c>
      <c r="AR1148">
        <v>-512</v>
      </c>
      <c r="AZ1148">
        <v>300</v>
      </c>
      <c r="BA1148">
        <v>1</v>
      </c>
      <c r="BB1148" t="str">
        <f t="shared" si="53"/>
        <v xml:space="preserve">N162AM  </v>
      </c>
      <c r="BC1148">
        <v>1</v>
      </c>
      <c r="BE1148">
        <v>0</v>
      </c>
      <c r="BF1148">
        <v>0</v>
      </c>
      <c r="BG1148">
        <v>0</v>
      </c>
      <c r="BH1148">
        <v>1325</v>
      </c>
      <c r="BI1148">
        <v>1</v>
      </c>
      <c r="BJ1148">
        <v>1</v>
      </c>
      <c r="BK1148">
        <v>1</v>
      </c>
      <c r="BL1148">
        <v>0</v>
      </c>
      <c r="BO1148">
        <v>0</v>
      </c>
      <c r="BP1148">
        <v>0</v>
      </c>
      <c r="BW1148" t="str">
        <f>"14:47:43.667"</f>
        <v>14:47:43.667</v>
      </c>
      <c r="CJ1148">
        <v>3</v>
      </c>
      <c r="CK1148">
        <v>2</v>
      </c>
      <c r="CL1148">
        <v>0</v>
      </c>
      <c r="CM1148">
        <v>2</v>
      </c>
      <c r="CN1148">
        <v>0</v>
      </c>
      <c r="CO1148">
        <v>3</v>
      </c>
      <c r="CP1148" t="s">
        <v>119</v>
      </c>
      <c r="CQ1148">
        <v>232</v>
      </c>
      <c r="CR1148">
        <v>1</v>
      </c>
      <c r="CW1148">
        <v>15293647</v>
      </c>
      <c r="CY1148">
        <v>1</v>
      </c>
      <c r="CZ1148">
        <v>0</v>
      </c>
      <c r="DA1148">
        <v>1</v>
      </c>
      <c r="DB1148">
        <v>0</v>
      </c>
      <c r="DC1148">
        <v>0</v>
      </c>
      <c r="DD1148">
        <v>1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"12/16/2021 14:47:44.865"</f>
        <v>12/16/2021 14:47:44.865</v>
      </c>
      <c r="C1149" t="str">
        <f t="shared" si="52"/>
        <v>FFDFD3C0</v>
      </c>
      <c r="D1149" t="s">
        <v>113</v>
      </c>
      <c r="E1149">
        <v>8</v>
      </c>
      <c r="H1149">
        <v>176</v>
      </c>
      <c r="I1149" t="s">
        <v>114</v>
      </c>
      <c r="J1149" t="s">
        <v>115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"14:47:44.672"</f>
        <v>14:47:44.672</v>
      </c>
      <c r="T1149" t="str">
        <f>"14:47:44.172"</f>
        <v>14:47:44.172</v>
      </c>
      <c r="U1149" t="str">
        <f t="shared" si="51"/>
        <v>A0F928</v>
      </c>
      <c r="V1149">
        <v>0</v>
      </c>
      <c r="W1149">
        <v>0</v>
      </c>
      <c r="X1149">
        <v>2</v>
      </c>
      <c r="Z1149">
        <v>0</v>
      </c>
      <c r="AA1149">
        <v>9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2</v>
      </c>
      <c r="AH1149">
        <v>1</v>
      </c>
      <c r="AI1149" t="s">
        <v>660</v>
      </c>
      <c r="AJ1149">
        <v>35.836607999999998</v>
      </c>
      <c r="AK1149" t="s">
        <v>661</v>
      </c>
      <c r="AL1149">
        <v>-83.960329999999999</v>
      </c>
      <c r="AM1149">
        <v>25</v>
      </c>
      <c r="AN1149">
        <v>1050</v>
      </c>
      <c r="AO1149" t="s">
        <v>118</v>
      </c>
      <c r="AP1149">
        <v>-55</v>
      </c>
      <c r="AQ1149">
        <v>-74</v>
      </c>
      <c r="AR1149">
        <v>-448</v>
      </c>
      <c r="AZ1149">
        <v>300</v>
      </c>
      <c r="BA1149">
        <v>1</v>
      </c>
      <c r="BB1149" t="str">
        <f t="shared" si="53"/>
        <v xml:space="preserve">N162AM  </v>
      </c>
      <c r="BC1149">
        <v>1</v>
      </c>
      <c r="BE1149">
        <v>0</v>
      </c>
      <c r="BF1149">
        <v>0</v>
      </c>
      <c r="BG1149">
        <v>0</v>
      </c>
      <c r="BH1149">
        <v>1300</v>
      </c>
      <c r="BI1149">
        <v>1</v>
      </c>
      <c r="BJ1149">
        <v>1</v>
      </c>
      <c r="BK1149">
        <v>1</v>
      </c>
      <c r="BL1149">
        <v>0</v>
      </c>
      <c r="BO1149">
        <v>0</v>
      </c>
      <c r="BP1149">
        <v>0</v>
      </c>
      <c r="BW1149" t="str">
        <f>"14:47:44.679"</f>
        <v>14:47:44.679</v>
      </c>
      <c r="CJ1149">
        <v>3</v>
      </c>
      <c r="CK1149">
        <v>2</v>
      </c>
      <c r="CL1149">
        <v>0</v>
      </c>
      <c r="CM1149">
        <v>2</v>
      </c>
      <c r="CN1149">
        <v>0</v>
      </c>
      <c r="CO1149">
        <v>5</v>
      </c>
      <c r="CP1149" t="s">
        <v>119</v>
      </c>
      <c r="CQ1149">
        <v>232</v>
      </c>
      <c r="CR1149">
        <v>1</v>
      </c>
      <c r="CW1149">
        <v>15295158</v>
      </c>
      <c r="CY1149">
        <v>1</v>
      </c>
      <c r="CZ1149">
        <v>0</v>
      </c>
      <c r="DA1149">
        <v>0</v>
      </c>
      <c r="DB1149">
        <v>0</v>
      </c>
      <c r="DC1149">
        <v>0</v>
      </c>
      <c r="DD1149">
        <v>1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"12/16/2021 14:47:44.897"</f>
        <v>12/16/2021 14:47:44.897</v>
      </c>
      <c r="C1150" t="str">
        <f t="shared" si="52"/>
        <v>FFDFD3C0</v>
      </c>
      <c r="D1150" t="s">
        <v>124</v>
      </c>
      <c r="E1150">
        <v>10</v>
      </c>
      <c r="F1150">
        <v>1010</v>
      </c>
      <c r="G1150" t="s">
        <v>130</v>
      </c>
      <c r="J1150" t="s">
        <v>125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"14:47:44.672"</f>
        <v>14:47:44.672</v>
      </c>
      <c r="T1150" t="str">
        <f>"14:47:44.172"</f>
        <v>14:47:44.172</v>
      </c>
      <c r="U1150" t="str">
        <f t="shared" si="51"/>
        <v>A0F928</v>
      </c>
      <c r="V1150">
        <v>0</v>
      </c>
      <c r="W1150">
        <v>0</v>
      </c>
      <c r="X1150">
        <v>2</v>
      </c>
      <c r="Z1150">
        <v>0</v>
      </c>
      <c r="AA1150">
        <v>9</v>
      </c>
      <c r="AB1150">
        <v>3</v>
      </c>
      <c r="AC1150">
        <v>0</v>
      </c>
      <c r="AD1150">
        <v>10</v>
      </c>
      <c r="AE1150">
        <v>0</v>
      </c>
      <c r="AF1150">
        <v>0</v>
      </c>
      <c r="AG1150">
        <v>2</v>
      </c>
      <c r="AH1150">
        <v>1</v>
      </c>
      <c r="AI1150" t="s">
        <v>660</v>
      </c>
      <c r="AJ1150">
        <v>35.836607999999998</v>
      </c>
      <c r="AK1150" t="s">
        <v>661</v>
      </c>
      <c r="AL1150">
        <v>-83.960329999999999</v>
      </c>
      <c r="AM1150">
        <v>25</v>
      </c>
      <c r="AN1150">
        <v>1050</v>
      </c>
      <c r="AO1150" t="s">
        <v>118</v>
      </c>
      <c r="AP1150">
        <v>-55</v>
      </c>
      <c r="AQ1150">
        <v>-74</v>
      </c>
      <c r="AR1150">
        <v>-448</v>
      </c>
      <c r="AZ1150">
        <v>300</v>
      </c>
      <c r="BA1150">
        <v>1</v>
      </c>
      <c r="BB1150" t="str">
        <f t="shared" si="53"/>
        <v xml:space="preserve">N162AM  </v>
      </c>
      <c r="BC1150">
        <v>1</v>
      </c>
      <c r="BE1150">
        <v>0</v>
      </c>
      <c r="BF1150">
        <v>0</v>
      </c>
      <c r="BG1150">
        <v>0</v>
      </c>
      <c r="BH1150">
        <v>1300</v>
      </c>
      <c r="BI1150">
        <v>1</v>
      </c>
      <c r="BJ1150">
        <v>1</v>
      </c>
      <c r="BK1150">
        <v>1</v>
      </c>
      <c r="BL1150">
        <v>0</v>
      </c>
      <c r="BO1150">
        <v>0</v>
      </c>
      <c r="BP1150">
        <v>0</v>
      </c>
      <c r="BW1150" t="str">
        <f>"14:47:44.679"</f>
        <v>14:47:44.679</v>
      </c>
      <c r="CJ1150">
        <v>2</v>
      </c>
      <c r="CK1150">
        <v>2</v>
      </c>
      <c r="CL1150">
        <v>0</v>
      </c>
      <c r="CM1150">
        <v>2</v>
      </c>
      <c r="CN1150">
        <v>0</v>
      </c>
      <c r="CO1150">
        <v>5</v>
      </c>
      <c r="CP1150" t="s">
        <v>119</v>
      </c>
      <c r="CQ1150">
        <v>232</v>
      </c>
      <c r="CR1150">
        <v>1</v>
      </c>
      <c r="CW1150">
        <v>15295158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1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"12/16/2021 14:47:44.944"</f>
        <v>12/16/2021 14:47:44.944</v>
      </c>
      <c r="C1151" t="str">
        <f t="shared" si="52"/>
        <v>FFDFD3C0</v>
      </c>
      <c r="D1151" t="s">
        <v>133</v>
      </c>
      <c r="E1151">
        <v>44</v>
      </c>
      <c r="H1151">
        <v>131</v>
      </c>
      <c r="I1151" t="s">
        <v>134</v>
      </c>
      <c r="J1151" t="s">
        <v>135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"14:47:44.672"</f>
        <v>14:47:44.672</v>
      </c>
      <c r="T1151" t="str">
        <f>"14:47:44.172"</f>
        <v>14:47:44.172</v>
      </c>
      <c r="U1151" t="str">
        <f t="shared" si="51"/>
        <v>A0F928</v>
      </c>
      <c r="V1151">
        <v>0</v>
      </c>
      <c r="W1151">
        <v>0</v>
      </c>
      <c r="X1151">
        <v>2</v>
      </c>
      <c r="Z1151">
        <v>0</v>
      </c>
      <c r="AA1151">
        <v>9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2</v>
      </c>
      <c r="AH1151">
        <v>1</v>
      </c>
      <c r="AI1151" t="s">
        <v>660</v>
      </c>
      <c r="AJ1151">
        <v>35.836607999999998</v>
      </c>
      <c r="AK1151" t="s">
        <v>661</v>
      </c>
      <c r="AL1151">
        <v>-83.960329999999999</v>
      </c>
      <c r="AM1151">
        <v>25</v>
      </c>
      <c r="AN1151">
        <v>1050</v>
      </c>
      <c r="AO1151" t="s">
        <v>118</v>
      </c>
      <c r="AP1151">
        <v>-55</v>
      </c>
      <c r="AQ1151">
        <v>-74</v>
      </c>
      <c r="AR1151">
        <v>-448</v>
      </c>
      <c r="AZ1151">
        <v>300</v>
      </c>
      <c r="BA1151">
        <v>1</v>
      </c>
      <c r="BB1151" t="str">
        <f t="shared" si="53"/>
        <v xml:space="preserve">N162AM  </v>
      </c>
      <c r="BC1151">
        <v>1</v>
      </c>
      <c r="BE1151">
        <v>0</v>
      </c>
      <c r="BF1151">
        <v>0</v>
      </c>
      <c r="BG1151">
        <v>0</v>
      </c>
      <c r="BH1151">
        <v>1300</v>
      </c>
      <c r="BI1151">
        <v>1</v>
      </c>
      <c r="BJ1151">
        <v>1</v>
      </c>
      <c r="BK1151">
        <v>1</v>
      </c>
      <c r="BL1151">
        <v>0</v>
      </c>
      <c r="BO1151">
        <v>0</v>
      </c>
      <c r="BP1151">
        <v>0</v>
      </c>
      <c r="BW1151" t="str">
        <f>"14:47:44.679"</f>
        <v>14:47:44.679</v>
      </c>
      <c r="CJ1151">
        <v>3</v>
      </c>
      <c r="CK1151">
        <v>2</v>
      </c>
      <c r="CL1151">
        <v>0</v>
      </c>
      <c r="CM1151">
        <v>2</v>
      </c>
      <c r="CN1151">
        <v>0</v>
      </c>
      <c r="CO1151">
        <v>5</v>
      </c>
      <c r="CP1151" t="s">
        <v>119</v>
      </c>
      <c r="CQ1151">
        <v>232</v>
      </c>
      <c r="CR1151">
        <v>1</v>
      </c>
      <c r="CW1151">
        <v>15295158</v>
      </c>
      <c r="CY1151">
        <v>1</v>
      </c>
      <c r="CZ1151">
        <v>0</v>
      </c>
      <c r="DA1151">
        <v>1</v>
      </c>
      <c r="DB1151">
        <v>0</v>
      </c>
      <c r="DC1151">
        <v>0</v>
      </c>
      <c r="DD1151">
        <v>1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"12/16/2021 14:47:44.944"</f>
        <v>12/16/2021 14:47:44.944</v>
      </c>
      <c r="C1152" t="str">
        <f t="shared" si="52"/>
        <v>FFDFD3C0</v>
      </c>
      <c r="D1152" t="s">
        <v>124</v>
      </c>
      <c r="E1152">
        <v>5</v>
      </c>
      <c r="F1152">
        <v>1005</v>
      </c>
      <c r="G1152" t="s">
        <v>114</v>
      </c>
      <c r="J1152" t="s">
        <v>125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"14:47:44.672"</f>
        <v>14:47:44.672</v>
      </c>
      <c r="T1152" t="str">
        <f>"14:47:44.172"</f>
        <v>14:47:44.172</v>
      </c>
      <c r="U1152" t="str">
        <f t="shared" si="51"/>
        <v>A0F928</v>
      </c>
      <c r="V1152">
        <v>0</v>
      </c>
      <c r="W1152">
        <v>0</v>
      </c>
      <c r="X1152">
        <v>2</v>
      </c>
      <c r="Z1152">
        <v>0</v>
      </c>
      <c r="AA1152">
        <v>9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2</v>
      </c>
      <c r="AH1152">
        <v>1</v>
      </c>
      <c r="AI1152" t="s">
        <v>660</v>
      </c>
      <c r="AJ1152">
        <v>35.836607999999998</v>
      </c>
      <c r="AK1152" t="s">
        <v>661</v>
      </c>
      <c r="AL1152">
        <v>-83.960329999999999</v>
      </c>
      <c r="AM1152">
        <v>25</v>
      </c>
      <c r="AN1152">
        <v>1050</v>
      </c>
      <c r="AO1152" t="s">
        <v>118</v>
      </c>
      <c r="AP1152">
        <v>-55</v>
      </c>
      <c r="AQ1152">
        <v>-74</v>
      </c>
      <c r="AR1152">
        <v>-448</v>
      </c>
      <c r="AZ1152">
        <v>300</v>
      </c>
      <c r="BA1152">
        <v>1</v>
      </c>
      <c r="BB1152" t="str">
        <f t="shared" si="53"/>
        <v xml:space="preserve">N162AM  </v>
      </c>
      <c r="BC1152">
        <v>1</v>
      </c>
      <c r="BE1152">
        <v>0</v>
      </c>
      <c r="BF1152">
        <v>0</v>
      </c>
      <c r="BG1152">
        <v>0</v>
      </c>
      <c r="BH1152">
        <v>1300</v>
      </c>
      <c r="BI1152">
        <v>1</v>
      </c>
      <c r="BJ1152">
        <v>1</v>
      </c>
      <c r="BK1152">
        <v>1</v>
      </c>
      <c r="BL1152">
        <v>0</v>
      </c>
      <c r="BO1152">
        <v>0</v>
      </c>
      <c r="BP1152">
        <v>0</v>
      </c>
      <c r="BW1152" t="str">
        <f>"14:47:44.679"</f>
        <v>14:47:44.679</v>
      </c>
      <c r="CJ1152">
        <v>3</v>
      </c>
      <c r="CK1152">
        <v>2</v>
      </c>
      <c r="CL1152">
        <v>0</v>
      </c>
      <c r="CM1152">
        <v>2</v>
      </c>
      <c r="CN1152">
        <v>0</v>
      </c>
      <c r="CO1152">
        <v>5</v>
      </c>
      <c r="CP1152" t="s">
        <v>119</v>
      </c>
      <c r="CQ1152">
        <v>232</v>
      </c>
      <c r="CR1152">
        <v>1</v>
      </c>
      <c r="CW1152">
        <v>15295158</v>
      </c>
      <c r="CY1152">
        <v>1</v>
      </c>
      <c r="CZ1152">
        <v>0</v>
      </c>
      <c r="DA1152">
        <v>1</v>
      </c>
      <c r="DB1152">
        <v>0</v>
      </c>
      <c r="DC1152">
        <v>0</v>
      </c>
      <c r="DD1152">
        <v>1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"12/16/2021 14:47:45.991"</f>
        <v>12/16/2021 14:47:45.991</v>
      </c>
      <c r="C1153" t="str">
        <f t="shared" si="52"/>
        <v>FFDFD3C0</v>
      </c>
      <c r="D1153" t="s">
        <v>113</v>
      </c>
      <c r="E1153">
        <v>8</v>
      </c>
      <c r="H1153">
        <v>176</v>
      </c>
      <c r="I1153" t="s">
        <v>114</v>
      </c>
      <c r="J1153" t="s">
        <v>115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"14:47:45.727"</f>
        <v>14:47:45.727</v>
      </c>
      <c r="T1153" t="str">
        <f>"14:47:45.227"</f>
        <v>14:47:45.227</v>
      </c>
      <c r="U1153" t="str">
        <f t="shared" si="51"/>
        <v>A0F928</v>
      </c>
      <c r="V1153">
        <v>0</v>
      </c>
      <c r="W1153">
        <v>0</v>
      </c>
      <c r="X1153">
        <v>2</v>
      </c>
      <c r="Z1153">
        <v>0</v>
      </c>
      <c r="AA1153">
        <v>9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2</v>
      </c>
      <c r="AH1153">
        <v>1</v>
      </c>
      <c r="AI1153" t="s">
        <v>662</v>
      </c>
      <c r="AJ1153">
        <v>35.836244000000001</v>
      </c>
      <c r="AK1153" t="s">
        <v>343</v>
      </c>
      <c r="AL1153">
        <v>-83.960673999999997</v>
      </c>
      <c r="AM1153">
        <v>25</v>
      </c>
      <c r="AN1153">
        <v>1050</v>
      </c>
      <c r="AO1153" t="s">
        <v>118</v>
      </c>
      <c r="AP1153">
        <v>-55</v>
      </c>
      <c r="AQ1153">
        <v>-74</v>
      </c>
      <c r="AR1153">
        <v>-512</v>
      </c>
      <c r="AZ1153">
        <v>300</v>
      </c>
      <c r="BA1153">
        <v>1</v>
      </c>
      <c r="BB1153" t="str">
        <f t="shared" si="53"/>
        <v xml:space="preserve">N162AM  </v>
      </c>
      <c r="BC1153">
        <v>1</v>
      </c>
      <c r="BE1153">
        <v>0</v>
      </c>
      <c r="BF1153">
        <v>0</v>
      </c>
      <c r="BG1153">
        <v>0</v>
      </c>
      <c r="BH1153">
        <v>1300</v>
      </c>
      <c r="BI1153">
        <v>1</v>
      </c>
      <c r="BJ1153">
        <v>1</v>
      </c>
      <c r="BK1153">
        <v>1</v>
      </c>
      <c r="BL1153">
        <v>0</v>
      </c>
      <c r="BO1153">
        <v>0</v>
      </c>
      <c r="BP1153">
        <v>0</v>
      </c>
      <c r="BW1153" t="str">
        <f>"14:47:45.728"</f>
        <v>14:47:45.728</v>
      </c>
      <c r="CJ1153">
        <v>3</v>
      </c>
      <c r="CK1153">
        <v>2</v>
      </c>
      <c r="CL1153">
        <v>0</v>
      </c>
      <c r="CM1153">
        <v>2</v>
      </c>
      <c r="CN1153">
        <v>0</v>
      </c>
      <c r="CO1153">
        <v>4</v>
      </c>
      <c r="CP1153" t="s">
        <v>119</v>
      </c>
      <c r="CQ1153">
        <v>232</v>
      </c>
      <c r="CR1153">
        <v>1</v>
      </c>
      <c r="CW1153">
        <v>15296799</v>
      </c>
      <c r="CY1153">
        <v>1</v>
      </c>
      <c r="CZ1153">
        <v>0</v>
      </c>
      <c r="DA1153">
        <v>0</v>
      </c>
      <c r="DB1153">
        <v>0</v>
      </c>
      <c r="DC1153">
        <v>0</v>
      </c>
      <c r="DD1153">
        <v>1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"12/16/2021 14:47:45.991"</f>
        <v>12/16/2021 14:47:45.991</v>
      </c>
      <c r="C1154" t="str">
        <f t="shared" si="52"/>
        <v>FFDFD3C0</v>
      </c>
      <c r="D1154" t="s">
        <v>124</v>
      </c>
      <c r="E1154">
        <v>10</v>
      </c>
      <c r="F1154">
        <v>1010</v>
      </c>
      <c r="G1154" t="s">
        <v>130</v>
      </c>
      <c r="J1154" t="s">
        <v>125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"14:47:45.727"</f>
        <v>14:47:45.727</v>
      </c>
      <c r="T1154" t="str">
        <f>"14:47:45.227"</f>
        <v>14:47:45.227</v>
      </c>
      <c r="U1154" t="str">
        <f t="shared" ref="U1154:U1217" si="54">"A0F928"</f>
        <v>A0F928</v>
      </c>
      <c r="V1154">
        <v>0</v>
      </c>
      <c r="W1154">
        <v>0</v>
      </c>
      <c r="X1154">
        <v>2</v>
      </c>
      <c r="Z1154">
        <v>0</v>
      </c>
      <c r="AA1154">
        <v>9</v>
      </c>
      <c r="AB1154">
        <v>3</v>
      </c>
      <c r="AC1154">
        <v>0</v>
      </c>
      <c r="AD1154">
        <v>10</v>
      </c>
      <c r="AE1154">
        <v>0</v>
      </c>
      <c r="AF1154">
        <v>0</v>
      </c>
      <c r="AG1154">
        <v>2</v>
      </c>
      <c r="AH1154">
        <v>1</v>
      </c>
      <c r="AI1154" t="s">
        <v>662</v>
      </c>
      <c r="AJ1154">
        <v>35.836244000000001</v>
      </c>
      <c r="AK1154" t="s">
        <v>343</v>
      </c>
      <c r="AL1154">
        <v>-83.960673999999997</v>
      </c>
      <c r="AM1154">
        <v>25</v>
      </c>
      <c r="AN1154">
        <v>1050</v>
      </c>
      <c r="AO1154" t="s">
        <v>118</v>
      </c>
      <c r="AP1154">
        <v>-55</v>
      </c>
      <c r="AQ1154">
        <v>-74</v>
      </c>
      <c r="AR1154">
        <v>-512</v>
      </c>
      <c r="AZ1154">
        <v>300</v>
      </c>
      <c r="BA1154">
        <v>1</v>
      </c>
      <c r="BB1154" t="str">
        <f t="shared" si="53"/>
        <v xml:space="preserve">N162AM  </v>
      </c>
      <c r="BC1154">
        <v>1</v>
      </c>
      <c r="BE1154">
        <v>0</v>
      </c>
      <c r="BF1154">
        <v>0</v>
      </c>
      <c r="BG1154">
        <v>0</v>
      </c>
      <c r="BH1154">
        <v>1300</v>
      </c>
      <c r="BI1154">
        <v>1</v>
      </c>
      <c r="BJ1154">
        <v>1</v>
      </c>
      <c r="BK1154">
        <v>1</v>
      </c>
      <c r="BL1154">
        <v>0</v>
      </c>
      <c r="BO1154">
        <v>0</v>
      </c>
      <c r="BP1154">
        <v>0</v>
      </c>
      <c r="BW1154" t="str">
        <f>"14:47:45.728"</f>
        <v>14:47:45.728</v>
      </c>
      <c r="CJ1154">
        <v>2</v>
      </c>
      <c r="CK1154">
        <v>2</v>
      </c>
      <c r="CL1154">
        <v>0</v>
      </c>
      <c r="CM1154">
        <v>2</v>
      </c>
      <c r="CN1154">
        <v>0</v>
      </c>
      <c r="CO1154">
        <v>4</v>
      </c>
      <c r="CP1154" t="s">
        <v>119</v>
      </c>
      <c r="CQ1154">
        <v>232</v>
      </c>
      <c r="CR1154">
        <v>1</v>
      </c>
      <c r="CW1154">
        <v>15296799</v>
      </c>
      <c r="CY1154">
        <v>1</v>
      </c>
      <c r="CZ1154">
        <v>0</v>
      </c>
      <c r="DA1154">
        <v>1</v>
      </c>
      <c r="DB1154">
        <v>0</v>
      </c>
      <c r="DC1154">
        <v>0</v>
      </c>
      <c r="DD1154">
        <v>1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"12/16/2021 14:47:45.991"</f>
        <v>12/16/2021 14:47:45.991</v>
      </c>
      <c r="C1155" t="str">
        <f t="shared" si="52"/>
        <v>FFDFD3C0</v>
      </c>
      <c r="D1155" t="s">
        <v>124</v>
      </c>
      <c r="E1155">
        <v>5</v>
      </c>
      <c r="F1155">
        <v>1005</v>
      </c>
      <c r="G1155" t="s">
        <v>114</v>
      </c>
      <c r="J1155" t="s">
        <v>125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"14:47:45.727"</f>
        <v>14:47:45.727</v>
      </c>
      <c r="T1155" t="str">
        <f>"14:47:45.227"</f>
        <v>14:47:45.227</v>
      </c>
      <c r="U1155" t="str">
        <f t="shared" si="54"/>
        <v>A0F928</v>
      </c>
      <c r="V1155">
        <v>0</v>
      </c>
      <c r="W1155">
        <v>0</v>
      </c>
      <c r="X1155">
        <v>2</v>
      </c>
      <c r="Z1155">
        <v>0</v>
      </c>
      <c r="AA1155">
        <v>9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2</v>
      </c>
      <c r="AH1155">
        <v>1</v>
      </c>
      <c r="AI1155" t="s">
        <v>662</v>
      </c>
      <c r="AJ1155">
        <v>35.836244000000001</v>
      </c>
      <c r="AK1155" t="s">
        <v>343</v>
      </c>
      <c r="AL1155">
        <v>-83.960673999999997</v>
      </c>
      <c r="AM1155">
        <v>25</v>
      </c>
      <c r="AN1155">
        <v>1050</v>
      </c>
      <c r="AO1155" t="s">
        <v>118</v>
      </c>
      <c r="AP1155">
        <v>-55</v>
      </c>
      <c r="AQ1155">
        <v>-74</v>
      </c>
      <c r="AR1155">
        <v>-512</v>
      </c>
      <c r="AZ1155">
        <v>300</v>
      </c>
      <c r="BA1155">
        <v>1</v>
      </c>
      <c r="BB1155" t="str">
        <f t="shared" si="53"/>
        <v xml:space="preserve">N162AM  </v>
      </c>
      <c r="BC1155">
        <v>1</v>
      </c>
      <c r="BE1155">
        <v>0</v>
      </c>
      <c r="BF1155">
        <v>0</v>
      </c>
      <c r="BG1155">
        <v>0</v>
      </c>
      <c r="BH1155">
        <v>1300</v>
      </c>
      <c r="BI1155">
        <v>1</v>
      </c>
      <c r="BJ1155">
        <v>1</v>
      </c>
      <c r="BK1155">
        <v>1</v>
      </c>
      <c r="BL1155">
        <v>0</v>
      </c>
      <c r="BO1155">
        <v>0</v>
      </c>
      <c r="BP1155">
        <v>0</v>
      </c>
      <c r="BW1155" t="str">
        <f>"14:47:45.728"</f>
        <v>14:47:45.728</v>
      </c>
      <c r="CJ1155">
        <v>3</v>
      </c>
      <c r="CK1155">
        <v>2</v>
      </c>
      <c r="CL1155">
        <v>0</v>
      </c>
      <c r="CM1155">
        <v>2</v>
      </c>
      <c r="CN1155">
        <v>0</v>
      </c>
      <c r="CO1155">
        <v>4</v>
      </c>
      <c r="CP1155" t="s">
        <v>119</v>
      </c>
      <c r="CQ1155">
        <v>232</v>
      </c>
      <c r="CR1155">
        <v>1</v>
      </c>
      <c r="CW1155">
        <v>15296799</v>
      </c>
      <c r="CY1155">
        <v>1</v>
      </c>
      <c r="CZ1155">
        <v>0</v>
      </c>
      <c r="DA1155">
        <v>1</v>
      </c>
      <c r="DB1155">
        <v>0</v>
      </c>
      <c r="DC1155">
        <v>0</v>
      </c>
      <c r="DD1155">
        <v>1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"12/16/2021 14:47:45.991"</f>
        <v>12/16/2021 14:47:45.991</v>
      </c>
      <c r="C1156" t="str">
        <f t="shared" si="52"/>
        <v>FFDFD3C0</v>
      </c>
      <c r="D1156" t="s">
        <v>133</v>
      </c>
      <c r="E1156">
        <v>44</v>
      </c>
      <c r="H1156">
        <v>131</v>
      </c>
      <c r="I1156" t="s">
        <v>134</v>
      </c>
      <c r="J1156" t="s">
        <v>135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"14:47:45.727"</f>
        <v>14:47:45.727</v>
      </c>
      <c r="T1156" t="str">
        <f>"14:47:45.227"</f>
        <v>14:47:45.227</v>
      </c>
      <c r="U1156" t="str">
        <f t="shared" si="54"/>
        <v>A0F928</v>
      </c>
      <c r="V1156">
        <v>0</v>
      </c>
      <c r="W1156">
        <v>0</v>
      </c>
      <c r="X1156">
        <v>2</v>
      </c>
      <c r="Z1156">
        <v>0</v>
      </c>
      <c r="AA1156">
        <v>9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2</v>
      </c>
      <c r="AH1156">
        <v>1</v>
      </c>
      <c r="AI1156" t="s">
        <v>662</v>
      </c>
      <c r="AJ1156">
        <v>35.836244000000001</v>
      </c>
      <c r="AK1156" t="s">
        <v>343</v>
      </c>
      <c r="AL1156">
        <v>-83.960673999999997</v>
      </c>
      <c r="AM1156">
        <v>25</v>
      </c>
      <c r="AN1156">
        <v>1050</v>
      </c>
      <c r="AO1156" t="s">
        <v>118</v>
      </c>
      <c r="AP1156">
        <v>-55</v>
      </c>
      <c r="AQ1156">
        <v>-74</v>
      </c>
      <c r="AR1156">
        <v>-512</v>
      </c>
      <c r="AZ1156">
        <v>300</v>
      </c>
      <c r="BA1156">
        <v>1</v>
      </c>
      <c r="BB1156" t="str">
        <f t="shared" si="53"/>
        <v xml:space="preserve">N162AM  </v>
      </c>
      <c r="BC1156">
        <v>1</v>
      </c>
      <c r="BE1156">
        <v>0</v>
      </c>
      <c r="BF1156">
        <v>0</v>
      </c>
      <c r="BG1156">
        <v>0</v>
      </c>
      <c r="BH1156">
        <v>1300</v>
      </c>
      <c r="BI1156">
        <v>1</v>
      </c>
      <c r="BJ1156">
        <v>1</v>
      </c>
      <c r="BK1156">
        <v>1</v>
      </c>
      <c r="BL1156">
        <v>0</v>
      </c>
      <c r="BO1156">
        <v>0</v>
      </c>
      <c r="BP1156">
        <v>0</v>
      </c>
      <c r="BW1156" t="str">
        <f>"14:47:45.728"</f>
        <v>14:47:45.728</v>
      </c>
      <c r="CJ1156">
        <v>3</v>
      </c>
      <c r="CK1156">
        <v>2</v>
      </c>
      <c r="CL1156">
        <v>0</v>
      </c>
      <c r="CM1156">
        <v>2</v>
      </c>
      <c r="CN1156">
        <v>0</v>
      </c>
      <c r="CO1156">
        <v>4</v>
      </c>
      <c r="CP1156" t="s">
        <v>119</v>
      </c>
      <c r="CQ1156">
        <v>232</v>
      </c>
      <c r="CR1156">
        <v>1</v>
      </c>
      <c r="CW1156">
        <v>15296799</v>
      </c>
      <c r="CY1156">
        <v>1</v>
      </c>
      <c r="CZ1156">
        <v>0</v>
      </c>
      <c r="DA1156">
        <v>1</v>
      </c>
      <c r="DB1156">
        <v>0</v>
      </c>
      <c r="DC1156">
        <v>0</v>
      </c>
      <c r="DD1156">
        <v>1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"12/16/2021 14:47:47.069"</f>
        <v>12/16/2021 14:47:47.069</v>
      </c>
      <c r="C1157" t="str">
        <f t="shared" si="52"/>
        <v>FFDFD3C0</v>
      </c>
      <c r="D1157" t="s">
        <v>133</v>
      </c>
      <c r="E1157">
        <v>44</v>
      </c>
      <c r="H1157">
        <v>131</v>
      </c>
      <c r="I1157" t="s">
        <v>134</v>
      </c>
      <c r="J1157" t="s">
        <v>135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"14:47:46.883"</f>
        <v>14:47:46.883</v>
      </c>
      <c r="T1157" t="str">
        <f>"14:47:46.383"</f>
        <v>14:47:46.383</v>
      </c>
      <c r="U1157" t="str">
        <f t="shared" si="54"/>
        <v>A0F928</v>
      </c>
      <c r="V1157">
        <v>0</v>
      </c>
      <c r="W1157">
        <v>0</v>
      </c>
      <c r="X1157">
        <v>2</v>
      </c>
      <c r="Z1157">
        <v>0</v>
      </c>
      <c r="AA1157">
        <v>9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2</v>
      </c>
      <c r="AH1157">
        <v>1</v>
      </c>
      <c r="AI1157" t="s">
        <v>663</v>
      </c>
      <c r="AJ1157">
        <v>35.835813999999999</v>
      </c>
      <c r="AK1157" t="s">
        <v>664</v>
      </c>
      <c r="AL1157">
        <v>-83.961016999999998</v>
      </c>
      <c r="AM1157">
        <v>25</v>
      </c>
      <c r="AN1157">
        <v>1050</v>
      </c>
      <c r="AO1157" t="s">
        <v>118</v>
      </c>
      <c r="AP1157">
        <v>-55</v>
      </c>
      <c r="AQ1157">
        <v>-74</v>
      </c>
      <c r="AR1157">
        <v>-512</v>
      </c>
      <c r="AZ1157">
        <v>300</v>
      </c>
      <c r="BA1157">
        <v>1</v>
      </c>
      <c r="BB1157" t="str">
        <f t="shared" si="53"/>
        <v xml:space="preserve">N162AM  </v>
      </c>
      <c r="BC1157">
        <v>1</v>
      </c>
      <c r="BE1157">
        <v>0</v>
      </c>
      <c r="BF1157">
        <v>0</v>
      </c>
      <c r="BG1157">
        <v>0</v>
      </c>
      <c r="BH1157">
        <v>1300</v>
      </c>
      <c r="BI1157">
        <v>1</v>
      </c>
      <c r="BJ1157">
        <v>1</v>
      </c>
      <c r="BK1157">
        <v>1</v>
      </c>
      <c r="BL1157">
        <v>0</v>
      </c>
      <c r="BO1157">
        <v>0</v>
      </c>
      <c r="BP1157">
        <v>0</v>
      </c>
      <c r="BW1157" t="str">
        <f>"14:47:46.883"</f>
        <v>14:47:46.883</v>
      </c>
      <c r="CJ1157">
        <v>3</v>
      </c>
      <c r="CK1157">
        <v>2</v>
      </c>
      <c r="CL1157">
        <v>0</v>
      </c>
      <c r="CM1157">
        <v>2</v>
      </c>
      <c r="CN1157">
        <v>0</v>
      </c>
      <c r="CO1157">
        <v>4</v>
      </c>
      <c r="CP1157" t="s">
        <v>119</v>
      </c>
      <c r="CQ1157">
        <v>232</v>
      </c>
      <c r="CR1157">
        <v>2</v>
      </c>
      <c r="CW1157">
        <v>6492831</v>
      </c>
      <c r="CY1157">
        <v>1</v>
      </c>
      <c r="CZ1157">
        <v>0</v>
      </c>
      <c r="DA1157">
        <v>0</v>
      </c>
      <c r="DB1157">
        <v>0</v>
      </c>
      <c r="DC1157">
        <v>0</v>
      </c>
      <c r="DD1157">
        <v>1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"12/16/2021 14:47:47.116"</f>
        <v>12/16/2021 14:47:47.116</v>
      </c>
      <c r="C1158" t="str">
        <f t="shared" si="52"/>
        <v>FFDFD3C0</v>
      </c>
      <c r="D1158" t="s">
        <v>113</v>
      </c>
      <c r="E1158">
        <v>8</v>
      </c>
      <c r="H1158">
        <v>176</v>
      </c>
      <c r="I1158" t="s">
        <v>114</v>
      </c>
      <c r="J1158" t="s">
        <v>115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"14:47:46.883"</f>
        <v>14:47:46.883</v>
      </c>
      <c r="T1158" t="str">
        <f>"14:47:46.383"</f>
        <v>14:47:46.383</v>
      </c>
      <c r="U1158" t="str">
        <f t="shared" si="54"/>
        <v>A0F928</v>
      </c>
      <c r="V1158">
        <v>0</v>
      </c>
      <c r="W1158">
        <v>0</v>
      </c>
      <c r="X1158">
        <v>2</v>
      </c>
      <c r="Z1158">
        <v>0</v>
      </c>
      <c r="AA1158">
        <v>9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2</v>
      </c>
      <c r="AH1158">
        <v>1</v>
      </c>
      <c r="AI1158" t="s">
        <v>663</v>
      </c>
      <c r="AJ1158">
        <v>35.835813999999999</v>
      </c>
      <c r="AK1158" t="s">
        <v>664</v>
      </c>
      <c r="AL1158">
        <v>-83.961016999999998</v>
      </c>
      <c r="AM1158">
        <v>25</v>
      </c>
      <c r="AN1158">
        <v>1050</v>
      </c>
      <c r="AO1158" t="s">
        <v>118</v>
      </c>
      <c r="AP1158">
        <v>-55</v>
      </c>
      <c r="AQ1158">
        <v>-74</v>
      </c>
      <c r="AR1158">
        <v>-512</v>
      </c>
      <c r="AZ1158">
        <v>300</v>
      </c>
      <c r="BA1158">
        <v>1</v>
      </c>
      <c r="BB1158" t="str">
        <f t="shared" si="53"/>
        <v xml:space="preserve">N162AM  </v>
      </c>
      <c r="BC1158">
        <v>1</v>
      </c>
      <c r="BE1158">
        <v>0</v>
      </c>
      <c r="BF1158">
        <v>0</v>
      </c>
      <c r="BG1158">
        <v>0</v>
      </c>
      <c r="BH1158">
        <v>1300</v>
      </c>
      <c r="BI1158">
        <v>1</v>
      </c>
      <c r="BJ1158">
        <v>1</v>
      </c>
      <c r="BK1158">
        <v>1</v>
      </c>
      <c r="BL1158">
        <v>0</v>
      </c>
      <c r="BO1158">
        <v>0</v>
      </c>
      <c r="BP1158">
        <v>0</v>
      </c>
      <c r="BW1158" t="str">
        <f>"14:47:46.883"</f>
        <v>14:47:46.883</v>
      </c>
      <c r="CJ1158">
        <v>3</v>
      </c>
      <c r="CK1158">
        <v>2</v>
      </c>
      <c r="CL1158">
        <v>0</v>
      </c>
      <c r="CM1158">
        <v>2</v>
      </c>
      <c r="CN1158">
        <v>0</v>
      </c>
      <c r="CO1158">
        <v>4</v>
      </c>
      <c r="CP1158" t="s">
        <v>119</v>
      </c>
      <c r="CQ1158">
        <v>232</v>
      </c>
      <c r="CR1158">
        <v>2</v>
      </c>
      <c r="CW1158">
        <v>6492831</v>
      </c>
      <c r="CY1158">
        <v>1</v>
      </c>
      <c r="CZ1158">
        <v>0</v>
      </c>
      <c r="DA1158">
        <v>1</v>
      </c>
      <c r="DB1158">
        <v>0</v>
      </c>
      <c r="DC1158">
        <v>0</v>
      </c>
      <c r="DD1158">
        <v>1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"12/16/2021 14:47:47.116"</f>
        <v>12/16/2021 14:47:47.116</v>
      </c>
      <c r="C1159" t="str">
        <f t="shared" si="52"/>
        <v>FFDFD3C0</v>
      </c>
      <c r="D1159" t="s">
        <v>124</v>
      </c>
      <c r="E1159">
        <v>10</v>
      </c>
      <c r="F1159">
        <v>1010</v>
      </c>
      <c r="G1159" t="s">
        <v>130</v>
      </c>
      <c r="J1159" t="s">
        <v>125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"14:47:46.883"</f>
        <v>14:47:46.883</v>
      </c>
      <c r="T1159" t="str">
        <f>"14:47:46.383"</f>
        <v>14:47:46.383</v>
      </c>
      <c r="U1159" t="str">
        <f t="shared" si="54"/>
        <v>A0F928</v>
      </c>
      <c r="V1159">
        <v>0</v>
      </c>
      <c r="W1159">
        <v>0</v>
      </c>
      <c r="X1159">
        <v>2</v>
      </c>
      <c r="Z1159">
        <v>0</v>
      </c>
      <c r="AA1159">
        <v>9</v>
      </c>
      <c r="AB1159">
        <v>3</v>
      </c>
      <c r="AC1159">
        <v>0</v>
      </c>
      <c r="AD1159">
        <v>10</v>
      </c>
      <c r="AE1159">
        <v>0</v>
      </c>
      <c r="AF1159">
        <v>0</v>
      </c>
      <c r="AG1159">
        <v>2</v>
      </c>
      <c r="AH1159">
        <v>1</v>
      </c>
      <c r="AI1159" t="s">
        <v>663</v>
      </c>
      <c r="AJ1159">
        <v>35.835813999999999</v>
      </c>
      <c r="AK1159" t="s">
        <v>664</v>
      </c>
      <c r="AL1159">
        <v>-83.961016999999998</v>
      </c>
      <c r="AM1159">
        <v>25</v>
      </c>
      <c r="AN1159">
        <v>1050</v>
      </c>
      <c r="AO1159" t="s">
        <v>118</v>
      </c>
      <c r="AP1159">
        <v>-55</v>
      </c>
      <c r="AQ1159">
        <v>-74</v>
      </c>
      <c r="AR1159">
        <v>-512</v>
      </c>
      <c r="AZ1159">
        <v>300</v>
      </c>
      <c r="BA1159">
        <v>1</v>
      </c>
      <c r="BB1159" t="str">
        <f t="shared" si="53"/>
        <v xml:space="preserve">N162AM  </v>
      </c>
      <c r="BC1159">
        <v>1</v>
      </c>
      <c r="BE1159">
        <v>0</v>
      </c>
      <c r="BF1159">
        <v>0</v>
      </c>
      <c r="BG1159">
        <v>0</v>
      </c>
      <c r="BH1159">
        <v>1300</v>
      </c>
      <c r="BI1159">
        <v>1</v>
      </c>
      <c r="BJ1159">
        <v>1</v>
      </c>
      <c r="BK1159">
        <v>1</v>
      </c>
      <c r="BL1159">
        <v>0</v>
      </c>
      <c r="BO1159">
        <v>0</v>
      </c>
      <c r="BP1159">
        <v>0</v>
      </c>
      <c r="BW1159" t="str">
        <f>"14:47:46.883"</f>
        <v>14:47:46.883</v>
      </c>
      <c r="CJ1159">
        <v>2</v>
      </c>
      <c r="CK1159">
        <v>2</v>
      </c>
      <c r="CL1159">
        <v>0</v>
      </c>
      <c r="CM1159">
        <v>2</v>
      </c>
      <c r="CN1159">
        <v>0</v>
      </c>
      <c r="CO1159">
        <v>4</v>
      </c>
      <c r="CP1159" t="s">
        <v>119</v>
      </c>
      <c r="CQ1159">
        <v>232</v>
      </c>
      <c r="CR1159">
        <v>2</v>
      </c>
      <c r="CW1159">
        <v>6492831</v>
      </c>
      <c r="CY1159">
        <v>1</v>
      </c>
      <c r="CZ1159">
        <v>0</v>
      </c>
      <c r="DA1159">
        <v>1</v>
      </c>
      <c r="DB1159">
        <v>0</v>
      </c>
      <c r="DC1159">
        <v>0</v>
      </c>
      <c r="DD1159">
        <v>1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"12/16/2021 14:47:47.116"</f>
        <v>12/16/2021 14:47:47.116</v>
      </c>
      <c r="C1160" t="str">
        <f t="shared" si="52"/>
        <v>FFDFD3C0</v>
      </c>
      <c r="D1160" t="s">
        <v>124</v>
      </c>
      <c r="E1160">
        <v>5</v>
      </c>
      <c r="F1160">
        <v>1005</v>
      </c>
      <c r="G1160" t="s">
        <v>114</v>
      </c>
      <c r="J1160" t="s">
        <v>125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"14:47:46.883"</f>
        <v>14:47:46.883</v>
      </c>
      <c r="T1160" t="str">
        <f>"14:47:46.383"</f>
        <v>14:47:46.383</v>
      </c>
      <c r="U1160" t="str">
        <f t="shared" si="54"/>
        <v>A0F928</v>
      </c>
      <c r="V1160">
        <v>0</v>
      </c>
      <c r="W1160">
        <v>0</v>
      </c>
      <c r="X1160">
        <v>2</v>
      </c>
      <c r="Z1160">
        <v>0</v>
      </c>
      <c r="AA1160">
        <v>9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2</v>
      </c>
      <c r="AH1160">
        <v>1</v>
      </c>
      <c r="AI1160" t="s">
        <v>663</v>
      </c>
      <c r="AJ1160">
        <v>35.835813999999999</v>
      </c>
      <c r="AK1160" t="s">
        <v>664</v>
      </c>
      <c r="AL1160">
        <v>-83.961016999999998</v>
      </c>
      <c r="AM1160">
        <v>25</v>
      </c>
      <c r="AN1160">
        <v>1050</v>
      </c>
      <c r="AO1160" t="s">
        <v>118</v>
      </c>
      <c r="AP1160">
        <v>-55</v>
      </c>
      <c r="AQ1160">
        <v>-74</v>
      </c>
      <c r="AR1160">
        <v>-512</v>
      </c>
      <c r="AZ1160">
        <v>300</v>
      </c>
      <c r="BA1160">
        <v>1</v>
      </c>
      <c r="BB1160" t="str">
        <f t="shared" si="53"/>
        <v xml:space="preserve">N162AM  </v>
      </c>
      <c r="BC1160">
        <v>1</v>
      </c>
      <c r="BE1160">
        <v>0</v>
      </c>
      <c r="BF1160">
        <v>0</v>
      </c>
      <c r="BG1160">
        <v>0</v>
      </c>
      <c r="BH1160">
        <v>1300</v>
      </c>
      <c r="BI1160">
        <v>1</v>
      </c>
      <c r="BJ1160">
        <v>1</v>
      </c>
      <c r="BK1160">
        <v>1</v>
      </c>
      <c r="BL1160">
        <v>0</v>
      </c>
      <c r="BO1160">
        <v>0</v>
      </c>
      <c r="BP1160">
        <v>0</v>
      </c>
      <c r="BW1160" t="str">
        <f>"14:47:46.883"</f>
        <v>14:47:46.883</v>
      </c>
      <c r="CJ1160">
        <v>3</v>
      </c>
      <c r="CK1160">
        <v>2</v>
      </c>
      <c r="CL1160">
        <v>0</v>
      </c>
      <c r="CM1160">
        <v>2</v>
      </c>
      <c r="CN1160">
        <v>0</v>
      </c>
      <c r="CO1160">
        <v>4</v>
      </c>
      <c r="CP1160" t="s">
        <v>119</v>
      </c>
      <c r="CQ1160">
        <v>232</v>
      </c>
      <c r="CR1160">
        <v>2</v>
      </c>
      <c r="CW1160">
        <v>6492831</v>
      </c>
      <c r="CY1160">
        <v>1</v>
      </c>
      <c r="CZ1160">
        <v>0</v>
      </c>
      <c r="DA1160">
        <v>1</v>
      </c>
      <c r="DB1160">
        <v>0</v>
      </c>
      <c r="DC1160">
        <v>0</v>
      </c>
      <c r="DD1160">
        <v>1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"12/16/2021 14:47:48.538"</f>
        <v>12/16/2021 14:47:48.538</v>
      </c>
      <c r="C1161" t="str">
        <f t="shared" si="52"/>
        <v>FFDFD3C0</v>
      </c>
      <c r="D1161" t="s">
        <v>133</v>
      </c>
      <c r="E1161">
        <v>44</v>
      </c>
      <c r="H1161">
        <v>131</v>
      </c>
      <c r="I1161" t="s">
        <v>134</v>
      </c>
      <c r="J1161" t="s">
        <v>135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"14:47:48.352"</f>
        <v>14:47:48.352</v>
      </c>
      <c r="T1161" t="str">
        <f>"14:47:47.852"</f>
        <v>14:47:47.852</v>
      </c>
      <c r="U1161" t="str">
        <f t="shared" si="54"/>
        <v>A0F928</v>
      </c>
      <c r="V1161">
        <v>0</v>
      </c>
      <c r="W1161">
        <v>0</v>
      </c>
      <c r="X1161">
        <v>2</v>
      </c>
      <c r="Z1161">
        <v>0</v>
      </c>
      <c r="AA1161">
        <v>9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2</v>
      </c>
      <c r="AH1161">
        <v>1</v>
      </c>
      <c r="AI1161" t="s">
        <v>665</v>
      </c>
      <c r="AJ1161">
        <v>35.835298999999999</v>
      </c>
      <c r="AK1161" t="s">
        <v>666</v>
      </c>
      <c r="AL1161">
        <v>-83.961532000000005</v>
      </c>
      <c r="AM1161">
        <v>25</v>
      </c>
      <c r="AN1161">
        <v>1025</v>
      </c>
      <c r="AO1161" t="s">
        <v>118</v>
      </c>
      <c r="AP1161">
        <v>-56</v>
      </c>
      <c r="AQ1161">
        <v>-73</v>
      </c>
      <c r="AR1161">
        <v>-448</v>
      </c>
      <c r="AZ1161">
        <v>300</v>
      </c>
      <c r="BA1161">
        <v>1</v>
      </c>
      <c r="BB1161" t="str">
        <f t="shared" si="53"/>
        <v xml:space="preserve">N162AM  </v>
      </c>
      <c r="BC1161">
        <v>1</v>
      </c>
      <c r="BE1161">
        <v>0</v>
      </c>
      <c r="BF1161">
        <v>0</v>
      </c>
      <c r="BG1161">
        <v>0</v>
      </c>
      <c r="BH1161">
        <v>1300</v>
      </c>
      <c r="BI1161">
        <v>1</v>
      </c>
      <c r="BJ1161">
        <v>1</v>
      </c>
      <c r="BK1161">
        <v>1</v>
      </c>
      <c r="BL1161">
        <v>0</v>
      </c>
      <c r="BO1161">
        <v>0</v>
      </c>
      <c r="BP1161">
        <v>0</v>
      </c>
      <c r="BW1161" t="str">
        <f>"14:47:48.359"</f>
        <v>14:47:48.359</v>
      </c>
      <c r="CJ1161">
        <v>3</v>
      </c>
      <c r="CK1161">
        <v>2</v>
      </c>
      <c r="CL1161">
        <v>0</v>
      </c>
      <c r="CM1161">
        <v>2</v>
      </c>
      <c r="CN1161">
        <v>0</v>
      </c>
      <c r="CO1161">
        <v>2</v>
      </c>
      <c r="CP1161" t="s">
        <v>119</v>
      </c>
      <c r="CQ1161">
        <v>232</v>
      </c>
      <c r="CR1161">
        <v>2</v>
      </c>
      <c r="CW1161">
        <v>6495177</v>
      </c>
      <c r="CY1161">
        <v>1</v>
      </c>
      <c r="CZ1161">
        <v>0</v>
      </c>
      <c r="DA1161">
        <v>0</v>
      </c>
      <c r="DB1161">
        <v>0</v>
      </c>
      <c r="DC1161">
        <v>0</v>
      </c>
      <c r="DD1161">
        <v>1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"12/16/2021 14:47:48.553"</f>
        <v>12/16/2021 14:47:48.553</v>
      </c>
      <c r="C1162" t="str">
        <f t="shared" si="52"/>
        <v>FFDFD3C0</v>
      </c>
      <c r="D1162" t="s">
        <v>113</v>
      </c>
      <c r="E1162">
        <v>8</v>
      </c>
      <c r="H1162">
        <v>176</v>
      </c>
      <c r="I1162" t="s">
        <v>114</v>
      </c>
      <c r="J1162" t="s">
        <v>115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"14:47:48.352"</f>
        <v>14:47:48.352</v>
      </c>
      <c r="T1162" t="str">
        <f>"14:47:47.852"</f>
        <v>14:47:47.852</v>
      </c>
      <c r="U1162" t="str">
        <f t="shared" si="54"/>
        <v>A0F928</v>
      </c>
      <c r="V1162">
        <v>0</v>
      </c>
      <c r="W1162">
        <v>0</v>
      </c>
      <c r="X1162">
        <v>2</v>
      </c>
      <c r="Z1162">
        <v>0</v>
      </c>
      <c r="AA1162">
        <v>9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2</v>
      </c>
      <c r="AH1162">
        <v>1</v>
      </c>
      <c r="AI1162" t="s">
        <v>665</v>
      </c>
      <c r="AJ1162">
        <v>35.835298999999999</v>
      </c>
      <c r="AK1162" t="s">
        <v>666</v>
      </c>
      <c r="AL1162">
        <v>-83.961532000000005</v>
      </c>
      <c r="AM1162">
        <v>25</v>
      </c>
      <c r="AN1162">
        <v>1025</v>
      </c>
      <c r="AO1162" t="s">
        <v>118</v>
      </c>
      <c r="AP1162">
        <v>-56</v>
      </c>
      <c r="AQ1162">
        <v>-73</v>
      </c>
      <c r="AR1162">
        <v>-448</v>
      </c>
      <c r="AZ1162">
        <v>300</v>
      </c>
      <c r="BA1162">
        <v>1</v>
      </c>
      <c r="BB1162" t="str">
        <f t="shared" si="53"/>
        <v xml:space="preserve">N162AM  </v>
      </c>
      <c r="BC1162">
        <v>1</v>
      </c>
      <c r="BE1162">
        <v>0</v>
      </c>
      <c r="BF1162">
        <v>0</v>
      </c>
      <c r="BG1162">
        <v>0</v>
      </c>
      <c r="BH1162">
        <v>1300</v>
      </c>
      <c r="BI1162">
        <v>1</v>
      </c>
      <c r="BJ1162">
        <v>1</v>
      </c>
      <c r="BK1162">
        <v>1</v>
      </c>
      <c r="BL1162">
        <v>0</v>
      </c>
      <c r="BO1162">
        <v>0</v>
      </c>
      <c r="BP1162">
        <v>0</v>
      </c>
      <c r="BW1162" t="str">
        <f>"14:47:48.359"</f>
        <v>14:47:48.359</v>
      </c>
      <c r="CJ1162">
        <v>3</v>
      </c>
      <c r="CK1162">
        <v>2</v>
      </c>
      <c r="CL1162">
        <v>0</v>
      </c>
      <c r="CM1162">
        <v>2</v>
      </c>
      <c r="CN1162">
        <v>0</v>
      </c>
      <c r="CO1162">
        <v>2</v>
      </c>
      <c r="CP1162" t="s">
        <v>119</v>
      </c>
      <c r="CQ1162">
        <v>232</v>
      </c>
      <c r="CR1162">
        <v>2</v>
      </c>
      <c r="CW1162">
        <v>6495177</v>
      </c>
      <c r="CY1162">
        <v>1</v>
      </c>
      <c r="CZ1162">
        <v>0</v>
      </c>
      <c r="DA1162">
        <v>1</v>
      </c>
      <c r="DB1162">
        <v>0</v>
      </c>
      <c r="DC1162">
        <v>0</v>
      </c>
      <c r="DD1162">
        <v>1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"12/16/2021 14:47:48.600"</f>
        <v>12/16/2021 14:47:48.600</v>
      </c>
      <c r="C1163" t="str">
        <f t="shared" si="52"/>
        <v>FFDFD3C0</v>
      </c>
      <c r="D1163" t="s">
        <v>124</v>
      </c>
      <c r="E1163">
        <v>10</v>
      </c>
      <c r="F1163">
        <v>1010</v>
      </c>
      <c r="G1163" t="s">
        <v>130</v>
      </c>
      <c r="J1163" t="s">
        <v>125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"14:47:48.352"</f>
        <v>14:47:48.352</v>
      </c>
      <c r="T1163" t="str">
        <f>"14:47:47.852"</f>
        <v>14:47:47.852</v>
      </c>
      <c r="U1163" t="str">
        <f t="shared" si="54"/>
        <v>A0F928</v>
      </c>
      <c r="V1163">
        <v>0</v>
      </c>
      <c r="W1163">
        <v>0</v>
      </c>
      <c r="X1163">
        <v>2</v>
      </c>
      <c r="Z1163">
        <v>0</v>
      </c>
      <c r="AA1163">
        <v>9</v>
      </c>
      <c r="AB1163">
        <v>3</v>
      </c>
      <c r="AC1163">
        <v>0</v>
      </c>
      <c r="AD1163">
        <v>10</v>
      </c>
      <c r="AE1163">
        <v>0</v>
      </c>
      <c r="AF1163">
        <v>0</v>
      </c>
      <c r="AG1163">
        <v>2</v>
      </c>
      <c r="AH1163">
        <v>1</v>
      </c>
      <c r="AI1163" t="s">
        <v>665</v>
      </c>
      <c r="AJ1163">
        <v>35.835298999999999</v>
      </c>
      <c r="AK1163" t="s">
        <v>666</v>
      </c>
      <c r="AL1163">
        <v>-83.961532000000005</v>
      </c>
      <c r="AM1163">
        <v>25</v>
      </c>
      <c r="AN1163">
        <v>1025</v>
      </c>
      <c r="AO1163" t="s">
        <v>118</v>
      </c>
      <c r="AP1163">
        <v>-56</v>
      </c>
      <c r="AQ1163">
        <v>-73</v>
      </c>
      <c r="AR1163">
        <v>-448</v>
      </c>
      <c r="AZ1163">
        <v>300</v>
      </c>
      <c r="BA1163">
        <v>1</v>
      </c>
      <c r="BB1163" t="str">
        <f t="shared" si="53"/>
        <v xml:space="preserve">N162AM  </v>
      </c>
      <c r="BC1163">
        <v>1</v>
      </c>
      <c r="BE1163">
        <v>0</v>
      </c>
      <c r="BF1163">
        <v>0</v>
      </c>
      <c r="BG1163">
        <v>0</v>
      </c>
      <c r="BH1163">
        <v>1300</v>
      </c>
      <c r="BI1163">
        <v>1</v>
      </c>
      <c r="BJ1163">
        <v>1</v>
      </c>
      <c r="BK1163">
        <v>1</v>
      </c>
      <c r="BL1163">
        <v>0</v>
      </c>
      <c r="BO1163">
        <v>0</v>
      </c>
      <c r="BP1163">
        <v>0</v>
      </c>
      <c r="BW1163" t="str">
        <f>"14:47:48.359"</f>
        <v>14:47:48.359</v>
      </c>
      <c r="CJ1163">
        <v>2</v>
      </c>
      <c r="CK1163">
        <v>2</v>
      </c>
      <c r="CL1163">
        <v>0</v>
      </c>
      <c r="CM1163">
        <v>2</v>
      </c>
      <c r="CN1163">
        <v>0</v>
      </c>
      <c r="CO1163">
        <v>2</v>
      </c>
      <c r="CP1163" t="s">
        <v>119</v>
      </c>
      <c r="CQ1163">
        <v>232</v>
      </c>
      <c r="CR1163">
        <v>2</v>
      </c>
      <c r="CW1163">
        <v>6495177</v>
      </c>
      <c r="CY1163">
        <v>1</v>
      </c>
      <c r="CZ1163">
        <v>0</v>
      </c>
      <c r="DA1163">
        <v>1</v>
      </c>
      <c r="DB1163">
        <v>0</v>
      </c>
      <c r="DC1163">
        <v>0</v>
      </c>
      <c r="DD1163">
        <v>1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"12/16/2021 14:47:48.600"</f>
        <v>12/16/2021 14:47:48.600</v>
      </c>
      <c r="C1164" t="str">
        <f t="shared" ref="C1164:C1232" si="55">"FFDFD3C0"</f>
        <v>FFDFD3C0</v>
      </c>
      <c r="D1164" t="s">
        <v>124</v>
      </c>
      <c r="E1164">
        <v>5</v>
      </c>
      <c r="F1164">
        <v>1005</v>
      </c>
      <c r="G1164" t="s">
        <v>114</v>
      </c>
      <c r="J1164" t="s">
        <v>125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"14:47:48.352"</f>
        <v>14:47:48.352</v>
      </c>
      <c r="T1164" t="str">
        <f>"14:47:47.852"</f>
        <v>14:47:47.852</v>
      </c>
      <c r="U1164" t="str">
        <f t="shared" si="54"/>
        <v>A0F928</v>
      </c>
      <c r="V1164">
        <v>0</v>
      </c>
      <c r="W1164">
        <v>0</v>
      </c>
      <c r="X1164">
        <v>2</v>
      </c>
      <c r="Z1164">
        <v>0</v>
      </c>
      <c r="AA1164">
        <v>9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2</v>
      </c>
      <c r="AH1164">
        <v>1</v>
      </c>
      <c r="AI1164" t="s">
        <v>665</v>
      </c>
      <c r="AJ1164">
        <v>35.835298999999999</v>
      </c>
      <c r="AK1164" t="s">
        <v>666</v>
      </c>
      <c r="AL1164">
        <v>-83.961532000000005</v>
      </c>
      <c r="AM1164">
        <v>25</v>
      </c>
      <c r="AN1164">
        <v>1025</v>
      </c>
      <c r="AO1164" t="s">
        <v>118</v>
      </c>
      <c r="AP1164">
        <v>-56</v>
      </c>
      <c r="AQ1164">
        <v>-73</v>
      </c>
      <c r="AR1164">
        <v>-448</v>
      </c>
      <c r="AZ1164">
        <v>300</v>
      </c>
      <c r="BA1164">
        <v>1</v>
      </c>
      <c r="BB1164" t="str">
        <f t="shared" ref="BB1164:BB1227" si="56">"N162AM  "</f>
        <v xml:space="preserve">N162AM  </v>
      </c>
      <c r="BC1164">
        <v>1</v>
      </c>
      <c r="BE1164">
        <v>0</v>
      </c>
      <c r="BF1164">
        <v>0</v>
      </c>
      <c r="BG1164">
        <v>0</v>
      </c>
      <c r="BH1164">
        <v>1300</v>
      </c>
      <c r="BI1164">
        <v>1</v>
      </c>
      <c r="BJ1164">
        <v>1</v>
      </c>
      <c r="BK1164">
        <v>1</v>
      </c>
      <c r="BL1164">
        <v>0</v>
      </c>
      <c r="BO1164">
        <v>0</v>
      </c>
      <c r="BP1164">
        <v>0</v>
      </c>
      <c r="BW1164" t="str">
        <f>"14:47:48.359"</f>
        <v>14:47:48.359</v>
      </c>
      <c r="CJ1164">
        <v>3</v>
      </c>
      <c r="CK1164">
        <v>2</v>
      </c>
      <c r="CL1164">
        <v>0</v>
      </c>
      <c r="CM1164">
        <v>2</v>
      </c>
      <c r="CN1164">
        <v>0</v>
      </c>
      <c r="CO1164">
        <v>2</v>
      </c>
      <c r="CP1164" t="s">
        <v>119</v>
      </c>
      <c r="CQ1164">
        <v>232</v>
      </c>
      <c r="CR1164">
        <v>2</v>
      </c>
      <c r="CW1164">
        <v>6495177</v>
      </c>
      <c r="CY1164">
        <v>1</v>
      </c>
      <c r="CZ1164">
        <v>0</v>
      </c>
      <c r="DA1164">
        <v>1</v>
      </c>
      <c r="DB1164">
        <v>0</v>
      </c>
      <c r="DC1164">
        <v>0</v>
      </c>
      <c r="DD1164">
        <v>1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"12/16/2021 14:47:49.508"</f>
        <v>12/16/2021 14:47:49.508</v>
      </c>
      <c r="C1165" t="str">
        <f t="shared" si="55"/>
        <v>FFDFD3C0</v>
      </c>
      <c r="D1165" t="s">
        <v>133</v>
      </c>
      <c r="E1165">
        <v>44</v>
      </c>
      <c r="H1165">
        <v>131</v>
      </c>
      <c r="I1165" t="s">
        <v>134</v>
      </c>
      <c r="J1165" t="s">
        <v>135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"14:47:49.305"</f>
        <v>14:47:49.305</v>
      </c>
      <c r="T1165" t="str">
        <f>"14:47:47.805"</f>
        <v>14:47:47.805</v>
      </c>
      <c r="U1165" t="str">
        <f t="shared" si="54"/>
        <v>A0F928</v>
      </c>
      <c r="V1165">
        <v>0</v>
      </c>
      <c r="W1165">
        <v>0</v>
      </c>
      <c r="X1165">
        <v>2</v>
      </c>
      <c r="Z1165">
        <v>0</v>
      </c>
      <c r="AA1165">
        <v>9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2</v>
      </c>
      <c r="AH1165">
        <v>1</v>
      </c>
      <c r="AI1165" t="s">
        <v>667</v>
      </c>
      <c r="AJ1165">
        <v>35.835020999999998</v>
      </c>
      <c r="AK1165" t="s">
        <v>668</v>
      </c>
      <c r="AL1165">
        <v>-83.961854000000002</v>
      </c>
      <c r="AM1165">
        <v>25</v>
      </c>
      <c r="AN1165">
        <v>1025</v>
      </c>
      <c r="AO1165" t="s">
        <v>118</v>
      </c>
      <c r="AP1165">
        <v>-56</v>
      </c>
      <c r="AQ1165">
        <v>-73</v>
      </c>
      <c r="AR1165">
        <v>-448</v>
      </c>
      <c r="AZ1165">
        <v>300</v>
      </c>
      <c r="BA1165">
        <v>1</v>
      </c>
      <c r="BB1165" t="str">
        <f t="shared" si="56"/>
        <v xml:space="preserve">N162AM  </v>
      </c>
      <c r="BC1165">
        <v>1</v>
      </c>
      <c r="BE1165">
        <v>0</v>
      </c>
      <c r="BF1165">
        <v>0</v>
      </c>
      <c r="BG1165">
        <v>0</v>
      </c>
      <c r="BH1165">
        <v>1300</v>
      </c>
      <c r="BI1165">
        <v>1</v>
      </c>
      <c r="BJ1165">
        <v>1</v>
      </c>
      <c r="BK1165">
        <v>1</v>
      </c>
      <c r="BL1165">
        <v>0</v>
      </c>
      <c r="BO1165">
        <v>0</v>
      </c>
      <c r="BP1165">
        <v>0</v>
      </c>
      <c r="BW1165" t="str">
        <f>"14:47:49.309"</f>
        <v>14:47:49.309</v>
      </c>
      <c r="CJ1165">
        <v>3</v>
      </c>
      <c r="CK1165">
        <v>2</v>
      </c>
      <c r="CL1165">
        <v>0</v>
      </c>
      <c r="CM1165">
        <v>2</v>
      </c>
      <c r="CN1165">
        <v>0</v>
      </c>
      <c r="CO1165">
        <v>1</v>
      </c>
      <c r="CP1165" t="s">
        <v>119</v>
      </c>
      <c r="CQ1165">
        <v>232</v>
      </c>
      <c r="CR1165">
        <v>1</v>
      </c>
      <c r="CW1165">
        <v>15302361</v>
      </c>
      <c r="CY1165">
        <v>1</v>
      </c>
      <c r="CZ1165">
        <v>0</v>
      </c>
      <c r="DA1165">
        <v>0</v>
      </c>
      <c r="DB1165">
        <v>0</v>
      </c>
      <c r="DC1165">
        <v>0</v>
      </c>
      <c r="DD1165">
        <v>1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"12/16/2021 14:47:49.508"</f>
        <v>12/16/2021 14:47:49.508</v>
      </c>
      <c r="C1166" t="str">
        <f t="shared" si="55"/>
        <v>FFDFD3C0</v>
      </c>
      <c r="D1166" t="s">
        <v>113</v>
      </c>
      <c r="E1166">
        <v>8</v>
      </c>
      <c r="H1166">
        <v>176</v>
      </c>
      <c r="I1166" t="s">
        <v>114</v>
      </c>
      <c r="J1166" t="s">
        <v>115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"14:47:49.305"</f>
        <v>14:47:49.305</v>
      </c>
      <c r="T1166" t="str">
        <f>"14:47:47.805"</f>
        <v>14:47:47.805</v>
      </c>
      <c r="U1166" t="str">
        <f t="shared" si="54"/>
        <v>A0F928</v>
      </c>
      <c r="V1166">
        <v>0</v>
      </c>
      <c r="W1166">
        <v>0</v>
      </c>
      <c r="X1166">
        <v>2</v>
      </c>
      <c r="Z1166">
        <v>0</v>
      </c>
      <c r="AA1166">
        <v>9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2</v>
      </c>
      <c r="AH1166">
        <v>1</v>
      </c>
      <c r="AI1166" t="s">
        <v>667</v>
      </c>
      <c r="AJ1166">
        <v>35.835020999999998</v>
      </c>
      <c r="AK1166" t="s">
        <v>668</v>
      </c>
      <c r="AL1166">
        <v>-83.961854000000002</v>
      </c>
      <c r="AM1166">
        <v>25</v>
      </c>
      <c r="AN1166">
        <v>1025</v>
      </c>
      <c r="AO1166" t="s">
        <v>118</v>
      </c>
      <c r="AP1166">
        <v>-56</v>
      </c>
      <c r="AQ1166">
        <v>-73</v>
      </c>
      <c r="AR1166">
        <v>-448</v>
      </c>
      <c r="AZ1166">
        <v>300</v>
      </c>
      <c r="BA1166">
        <v>1</v>
      </c>
      <c r="BB1166" t="str">
        <f t="shared" si="56"/>
        <v xml:space="preserve">N162AM  </v>
      </c>
      <c r="BC1166">
        <v>1</v>
      </c>
      <c r="BE1166">
        <v>0</v>
      </c>
      <c r="BF1166">
        <v>0</v>
      </c>
      <c r="BG1166">
        <v>0</v>
      </c>
      <c r="BH1166">
        <v>1300</v>
      </c>
      <c r="BI1166">
        <v>1</v>
      </c>
      <c r="BJ1166">
        <v>1</v>
      </c>
      <c r="BK1166">
        <v>1</v>
      </c>
      <c r="BL1166">
        <v>0</v>
      </c>
      <c r="BO1166">
        <v>0</v>
      </c>
      <c r="BP1166">
        <v>0</v>
      </c>
      <c r="BW1166" t="str">
        <f>"14:47:49.309"</f>
        <v>14:47:49.309</v>
      </c>
      <c r="CJ1166">
        <v>3</v>
      </c>
      <c r="CK1166">
        <v>2</v>
      </c>
      <c r="CL1166">
        <v>0</v>
      </c>
      <c r="CM1166">
        <v>2</v>
      </c>
      <c r="CN1166">
        <v>0</v>
      </c>
      <c r="CO1166">
        <v>1</v>
      </c>
      <c r="CP1166" t="s">
        <v>119</v>
      </c>
      <c r="CQ1166">
        <v>232</v>
      </c>
      <c r="CR1166">
        <v>1</v>
      </c>
      <c r="CW1166">
        <v>15302361</v>
      </c>
      <c r="CY1166">
        <v>1</v>
      </c>
      <c r="CZ1166">
        <v>0</v>
      </c>
      <c r="DA1166">
        <v>1</v>
      </c>
      <c r="DB1166">
        <v>0</v>
      </c>
      <c r="DC1166">
        <v>0</v>
      </c>
      <c r="DD1166">
        <v>1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"12/16/2021 14:47:49.539"</f>
        <v>12/16/2021 14:47:49.539</v>
      </c>
      <c r="C1167" t="str">
        <f t="shared" si="55"/>
        <v>FFDFD3C0</v>
      </c>
      <c r="D1167" t="s">
        <v>124</v>
      </c>
      <c r="E1167">
        <v>10</v>
      </c>
      <c r="F1167">
        <v>1010</v>
      </c>
      <c r="G1167" t="s">
        <v>130</v>
      </c>
      <c r="J1167" t="s">
        <v>125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"14:47:49.305"</f>
        <v>14:47:49.305</v>
      </c>
      <c r="T1167" t="str">
        <f>"14:47:47.805"</f>
        <v>14:47:47.805</v>
      </c>
      <c r="U1167" t="str">
        <f t="shared" si="54"/>
        <v>A0F928</v>
      </c>
      <c r="V1167">
        <v>0</v>
      </c>
      <c r="W1167">
        <v>0</v>
      </c>
      <c r="X1167">
        <v>2</v>
      </c>
      <c r="Z1167">
        <v>0</v>
      </c>
      <c r="AA1167">
        <v>9</v>
      </c>
      <c r="AB1167">
        <v>3</v>
      </c>
      <c r="AC1167">
        <v>0</v>
      </c>
      <c r="AD1167">
        <v>10</v>
      </c>
      <c r="AE1167">
        <v>0</v>
      </c>
      <c r="AF1167">
        <v>0</v>
      </c>
      <c r="AG1167">
        <v>2</v>
      </c>
      <c r="AH1167">
        <v>1</v>
      </c>
      <c r="AI1167" t="s">
        <v>667</v>
      </c>
      <c r="AJ1167">
        <v>35.835020999999998</v>
      </c>
      <c r="AK1167" t="s">
        <v>668</v>
      </c>
      <c r="AL1167">
        <v>-83.961854000000002</v>
      </c>
      <c r="AM1167">
        <v>25</v>
      </c>
      <c r="AN1167">
        <v>1025</v>
      </c>
      <c r="AO1167" t="s">
        <v>118</v>
      </c>
      <c r="AP1167">
        <v>-56</v>
      </c>
      <c r="AQ1167">
        <v>-73</v>
      </c>
      <c r="AR1167">
        <v>-448</v>
      </c>
      <c r="AZ1167">
        <v>300</v>
      </c>
      <c r="BA1167">
        <v>1</v>
      </c>
      <c r="BB1167" t="str">
        <f t="shared" si="56"/>
        <v xml:space="preserve">N162AM  </v>
      </c>
      <c r="BC1167">
        <v>1</v>
      </c>
      <c r="BE1167">
        <v>0</v>
      </c>
      <c r="BF1167">
        <v>0</v>
      </c>
      <c r="BG1167">
        <v>0</v>
      </c>
      <c r="BH1167">
        <v>1300</v>
      </c>
      <c r="BI1167">
        <v>1</v>
      </c>
      <c r="BJ1167">
        <v>1</v>
      </c>
      <c r="BK1167">
        <v>1</v>
      </c>
      <c r="BL1167">
        <v>0</v>
      </c>
      <c r="BO1167">
        <v>0</v>
      </c>
      <c r="BP1167">
        <v>0</v>
      </c>
      <c r="BW1167" t="str">
        <f>"14:47:49.309"</f>
        <v>14:47:49.309</v>
      </c>
      <c r="CJ1167">
        <v>2</v>
      </c>
      <c r="CK1167">
        <v>2</v>
      </c>
      <c r="CL1167">
        <v>0</v>
      </c>
      <c r="CM1167">
        <v>2</v>
      </c>
      <c r="CN1167">
        <v>0</v>
      </c>
      <c r="CO1167">
        <v>1</v>
      </c>
      <c r="CP1167" t="s">
        <v>119</v>
      </c>
      <c r="CQ1167">
        <v>232</v>
      </c>
      <c r="CR1167">
        <v>1</v>
      </c>
      <c r="CW1167">
        <v>15302361</v>
      </c>
      <c r="CY1167">
        <v>1</v>
      </c>
      <c r="CZ1167">
        <v>0</v>
      </c>
      <c r="DA1167">
        <v>1</v>
      </c>
      <c r="DB1167">
        <v>0</v>
      </c>
      <c r="DC1167">
        <v>0</v>
      </c>
      <c r="DD1167">
        <v>1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"12/16/2021 14:47:49.539"</f>
        <v>12/16/2021 14:47:49.539</v>
      </c>
      <c r="C1168" t="str">
        <f t="shared" si="55"/>
        <v>FFDFD3C0</v>
      </c>
      <c r="D1168" t="s">
        <v>124</v>
      </c>
      <c r="E1168">
        <v>5</v>
      </c>
      <c r="F1168">
        <v>1005</v>
      </c>
      <c r="G1168" t="s">
        <v>114</v>
      </c>
      <c r="J1168" t="s">
        <v>125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"14:47:49.305"</f>
        <v>14:47:49.305</v>
      </c>
      <c r="T1168" t="str">
        <f>"14:47:47.805"</f>
        <v>14:47:47.805</v>
      </c>
      <c r="U1168" t="str">
        <f t="shared" si="54"/>
        <v>A0F928</v>
      </c>
      <c r="V1168">
        <v>0</v>
      </c>
      <c r="W1168">
        <v>0</v>
      </c>
      <c r="X1168">
        <v>2</v>
      </c>
      <c r="Z1168">
        <v>0</v>
      </c>
      <c r="AA1168">
        <v>9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2</v>
      </c>
      <c r="AH1168">
        <v>1</v>
      </c>
      <c r="AI1168" t="s">
        <v>667</v>
      </c>
      <c r="AJ1168">
        <v>35.835020999999998</v>
      </c>
      <c r="AK1168" t="s">
        <v>668</v>
      </c>
      <c r="AL1168">
        <v>-83.961854000000002</v>
      </c>
      <c r="AM1168">
        <v>25</v>
      </c>
      <c r="AN1168">
        <v>1025</v>
      </c>
      <c r="AO1168" t="s">
        <v>118</v>
      </c>
      <c r="AP1168">
        <v>-56</v>
      </c>
      <c r="AQ1168">
        <v>-73</v>
      </c>
      <c r="AR1168">
        <v>-448</v>
      </c>
      <c r="AZ1168">
        <v>300</v>
      </c>
      <c r="BA1168">
        <v>1</v>
      </c>
      <c r="BB1168" t="str">
        <f t="shared" si="56"/>
        <v xml:space="preserve">N162AM  </v>
      </c>
      <c r="BC1168">
        <v>1</v>
      </c>
      <c r="BE1168">
        <v>0</v>
      </c>
      <c r="BF1168">
        <v>0</v>
      </c>
      <c r="BG1168">
        <v>0</v>
      </c>
      <c r="BH1168">
        <v>1300</v>
      </c>
      <c r="BI1168">
        <v>1</v>
      </c>
      <c r="BJ1168">
        <v>1</v>
      </c>
      <c r="BK1168">
        <v>1</v>
      </c>
      <c r="BL1168">
        <v>0</v>
      </c>
      <c r="BO1168">
        <v>0</v>
      </c>
      <c r="BP1168">
        <v>0</v>
      </c>
      <c r="BW1168" t="str">
        <f>"14:47:49.309"</f>
        <v>14:47:49.309</v>
      </c>
      <c r="CJ1168">
        <v>3</v>
      </c>
      <c r="CK1168">
        <v>2</v>
      </c>
      <c r="CL1168">
        <v>0</v>
      </c>
      <c r="CM1168">
        <v>2</v>
      </c>
      <c r="CN1168">
        <v>0</v>
      </c>
      <c r="CO1168">
        <v>1</v>
      </c>
      <c r="CP1168" t="s">
        <v>119</v>
      </c>
      <c r="CQ1168">
        <v>232</v>
      </c>
      <c r="CR1168">
        <v>1</v>
      </c>
      <c r="CW1168">
        <v>15302361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1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"12/16/2021 14:47:51.617"</f>
        <v>12/16/2021 14:47:51.617</v>
      </c>
      <c r="C1169" t="str">
        <f t="shared" si="55"/>
        <v>FFDFD3C0</v>
      </c>
      <c r="D1169" t="s">
        <v>133</v>
      </c>
      <c r="E1169">
        <v>44</v>
      </c>
      <c r="H1169">
        <v>131</v>
      </c>
      <c r="I1169" t="s">
        <v>134</v>
      </c>
      <c r="J1169" t="s">
        <v>135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"14:47:51.367"</f>
        <v>14:47:51.367</v>
      </c>
      <c r="T1169" t="str">
        <f>"14:47:50.867"</f>
        <v>14:47:50.867</v>
      </c>
      <c r="U1169" t="str">
        <f t="shared" si="54"/>
        <v>A0F928</v>
      </c>
      <c r="V1169">
        <v>0</v>
      </c>
      <c r="W1169">
        <v>0</v>
      </c>
      <c r="X1169">
        <v>2</v>
      </c>
      <c r="Z1169">
        <v>0</v>
      </c>
      <c r="AA1169">
        <v>9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2</v>
      </c>
      <c r="AH1169">
        <v>1</v>
      </c>
      <c r="AI1169" t="s">
        <v>606</v>
      </c>
      <c r="AJ1169">
        <v>35.834333999999998</v>
      </c>
      <c r="AK1169" t="s">
        <v>669</v>
      </c>
      <c r="AL1169">
        <v>-83.962562000000005</v>
      </c>
      <c r="AM1169">
        <v>25</v>
      </c>
      <c r="AN1169">
        <v>1000</v>
      </c>
      <c r="AO1169" t="s">
        <v>118</v>
      </c>
      <c r="AP1169">
        <v>-60</v>
      </c>
      <c r="AQ1169">
        <v>-70</v>
      </c>
      <c r="AR1169">
        <v>-320</v>
      </c>
      <c r="AZ1169">
        <v>300</v>
      </c>
      <c r="BA1169">
        <v>1</v>
      </c>
      <c r="BB1169" t="str">
        <f t="shared" si="56"/>
        <v xml:space="preserve">N162AM  </v>
      </c>
      <c r="BC1169">
        <v>1</v>
      </c>
      <c r="BE1169">
        <v>0</v>
      </c>
      <c r="BF1169">
        <v>0</v>
      </c>
      <c r="BG1169">
        <v>0</v>
      </c>
      <c r="BH1169">
        <v>1300</v>
      </c>
      <c r="BI1169">
        <v>1</v>
      </c>
      <c r="BJ1169">
        <v>1</v>
      </c>
      <c r="BK1169">
        <v>1</v>
      </c>
      <c r="BL1169">
        <v>0</v>
      </c>
      <c r="BO1169">
        <v>0</v>
      </c>
      <c r="BP1169">
        <v>0</v>
      </c>
      <c r="BW1169" t="str">
        <f>"14:47:51.369"</f>
        <v>14:47:51.369</v>
      </c>
      <c r="CJ1169">
        <v>3</v>
      </c>
      <c r="CK1169">
        <v>2</v>
      </c>
      <c r="CL1169">
        <v>0</v>
      </c>
      <c r="CM1169">
        <v>2</v>
      </c>
      <c r="CN1169">
        <v>0</v>
      </c>
      <c r="CO1169">
        <v>2</v>
      </c>
      <c r="CP1169" t="s">
        <v>119</v>
      </c>
      <c r="CQ1169">
        <v>232</v>
      </c>
      <c r="CR1169">
        <v>1</v>
      </c>
      <c r="CW1169">
        <v>15305639</v>
      </c>
      <c r="CY1169">
        <v>1</v>
      </c>
      <c r="CZ1169">
        <v>0</v>
      </c>
      <c r="DA1169">
        <v>0</v>
      </c>
      <c r="DB1169">
        <v>0</v>
      </c>
      <c r="DC1169">
        <v>0</v>
      </c>
      <c r="DD1169">
        <v>1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"12/16/2021 14:47:51.617"</f>
        <v>12/16/2021 14:47:51.617</v>
      </c>
      <c r="C1170" t="str">
        <f t="shared" si="55"/>
        <v>FFDFD3C0</v>
      </c>
      <c r="D1170" t="s">
        <v>113</v>
      </c>
      <c r="E1170">
        <v>8</v>
      </c>
      <c r="H1170">
        <v>176</v>
      </c>
      <c r="I1170" t="s">
        <v>114</v>
      </c>
      <c r="J1170" t="s">
        <v>115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"14:47:51.367"</f>
        <v>14:47:51.367</v>
      </c>
      <c r="T1170" t="str">
        <f>"14:47:50.867"</f>
        <v>14:47:50.867</v>
      </c>
      <c r="U1170" t="str">
        <f t="shared" si="54"/>
        <v>A0F928</v>
      </c>
      <c r="V1170">
        <v>0</v>
      </c>
      <c r="W1170">
        <v>0</v>
      </c>
      <c r="X1170">
        <v>2</v>
      </c>
      <c r="Z1170">
        <v>0</v>
      </c>
      <c r="AA1170">
        <v>9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2</v>
      </c>
      <c r="AH1170">
        <v>1</v>
      </c>
      <c r="AI1170" t="s">
        <v>606</v>
      </c>
      <c r="AJ1170">
        <v>35.834333999999998</v>
      </c>
      <c r="AK1170" t="s">
        <v>669</v>
      </c>
      <c r="AL1170">
        <v>-83.962562000000005</v>
      </c>
      <c r="AM1170">
        <v>25</v>
      </c>
      <c r="AN1170">
        <v>1000</v>
      </c>
      <c r="AO1170" t="s">
        <v>118</v>
      </c>
      <c r="AP1170">
        <v>-60</v>
      </c>
      <c r="AQ1170">
        <v>-70</v>
      </c>
      <c r="AR1170">
        <v>-320</v>
      </c>
      <c r="AZ1170">
        <v>300</v>
      </c>
      <c r="BA1170">
        <v>1</v>
      </c>
      <c r="BB1170" t="str">
        <f t="shared" si="56"/>
        <v xml:space="preserve">N162AM  </v>
      </c>
      <c r="BC1170">
        <v>1</v>
      </c>
      <c r="BE1170">
        <v>0</v>
      </c>
      <c r="BF1170">
        <v>0</v>
      </c>
      <c r="BG1170">
        <v>0</v>
      </c>
      <c r="BH1170">
        <v>1300</v>
      </c>
      <c r="BI1170">
        <v>1</v>
      </c>
      <c r="BJ1170">
        <v>1</v>
      </c>
      <c r="BK1170">
        <v>1</v>
      </c>
      <c r="BL1170">
        <v>0</v>
      </c>
      <c r="BO1170">
        <v>0</v>
      </c>
      <c r="BP1170">
        <v>0</v>
      </c>
      <c r="BW1170" t="str">
        <f>"14:47:51.369"</f>
        <v>14:47:51.369</v>
      </c>
      <c r="CJ1170">
        <v>3</v>
      </c>
      <c r="CK1170">
        <v>2</v>
      </c>
      <c r="CL1170">
        <v>0</v>
      </c>
      <c r="CM1170">
        <v>2</v>
      </c>
      <c r="CN1170">
        <v>0</v>
      </c>
      <c r="CO1170">
        <v>2</v>
      </c>
      <c r="CP1170" t="s">
        <v>119</v>
      </c>
      <c r="CQ1170">
        <v>232</v>
      </c>
      <c r="CR1170">
        <v>1</v>
      </c>
      <c r="CW1170">
        <v>15305639</v>
      </c>
      <c r="CY1170">
        <v>1</v>
      </c>
      <c r="CZ1170">
        <v>0</v>
      </c>
      <c r="DA1170">
        <v>1</v>
      </c>
      <c r="DB1170">
        <v>0</v>
      </c>
      <c r="DC1170">
        <v>0</v>
      </c>
      <c r="DD1170">
        <v>1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"12/16/2021 14:47:51.617"</f>
        <v>12/16/2021 14:47:51.617</v>
      </c>
      <c r="C1171" t="str">
        <f t="shared" si="55"/>
        <v>FFDFD3C0</v>
      </c>
      <c r="D1171" t="s">
        <v>124</v>
      </c>
      <c r="E1171">
        <v>10</v>
      </c>
      <c r="F1171">
        <v>1010</v>
      </c>
      <c r="G1171" t="s">
        <v>130</v>
      </c>
      <c r="J1171" t="s">
        <v>125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"14:47:51.367"</f>
        <v>14:47:51.367</v>
      </c>
      <c r="T1171" t="str">
        <f>"14:47:50.867"</f>
        <v>14:47:50.867</v>
      </c>
      <c r="U1171" t="str">
        <f t="shared" si="54"/>
        <v>A0F928</v>
      </c>
      <c r="V1171">
        <v>0</v>
      </c>
      <c r="W1171">
        <v>0</v>
      </c>
      <c r="X1171">
        <v>2</v>
      </c>
      <c r="Z1171">
        <v>0</v>
      </c>
      <c r="AA1171">
        <v>9</v>
      </c>
      <c r="AB1171">
        <v>3</v>
      </c>
      <c r="AC1171">
        <v>0</v>
      </c>
      <c r="AD1171">
        <v>10</v>
      </c>
      <c r="AE1171">
        <v>0</v>
      </c>
      <c r="AF1171">
        <v>0</v>
      </c>
      <c r="AG1171">
        <v>2</v>
      </c>
      <c r="AH1171">
        <v>1</v>
      </c>
      <c r="AI1171" t="s">
        <v>606</v>
      </c>
      <c r="AJ1171">
        <v>35.834333999999998</v>
      </c>
      <c r="AK1171" t="s">
        <v>669</v>
      </c>
      <c r="AL1171">
        <v>-83.962562000000005</v>
      </c>
      <c r="AM1171">
        <v>25</v>
      </c>
      <c r="AN1171">
        <v>1000</v>
      </c>
      <c r="AO1171" t="s">
        <v>118</v>
      </c>
      <c r="AP1171">
        <v>-60</v>
      </c>
      <c r="AQ1171">
        <v>-70</v>
      </c>
      <c r="AR1171">
        <v>-320</v>
      </c>
      <c r="AZ1171">
        <v>300</v>
      </c>
      <c r="BA1171">
        <v>1</v>
      </c>
      <c r="BB1171" t="str">
        <f t="shared" si="56"/>
        <v xml:space="preserve">N162AM  </v>
      </c>
      <c r="BC1171">
        <v>1</v>
      </c>
      <c r="BE1171">
        <v>0</v>
      </c>
      <c r="BF1171">
        <v>0</v>
      </c>
      <c r="BG1171">
        <v>0</v>
      </c>
      <c r="BH1171">
        <v>1300</v>
      </c>
      <c r="BI1171">
        <v>1</v>
      </c>
      <c r="BJ1171">
        <v>1</v>
      </c>
      <c r="BK1171">
        <v>1</v>
      </c>
      <c r="BL1171">
        <v>0</v>
      </c>
      <c r="BO1171">
        <v>0</v>
      </c>
      <c r="BP1171">
        <v>0</v>
      </c>
      <c r="BW1171" t="str">
        <f>"14:47:51.369"</f>
        <v>14:47:51.369</v>
      </c>
      <c r="CJ1171">
        <v>2</v>
      </c>
      <c r="CK1171">
        <v>2</v>
      </c>
      <c r="CL1171">
        <v>0</v>
      </c>
      <c r="CM1171">
        <v>2</v>
      </c>
      <c r="CN1171">
        <v>0</v>
      </c>
      <c r="CO1171">
        <v>2</v>
      </c>
      <c r="CP1171" t="s">
        <v>119</v>
      </c>
      <c r="CQ1171">
        <v>232</v>
      </c>
      <c r="CR1171">
        <v>1</v>
      </c>
      <c r="CW1171">
        <v>15305639</v>
      </c>
      <c r="CY1171">
        <v>1</v>
      </c>
      <c r="CZ1171">
        <v>0</v>
      </c>
      <c r="DA1171">
        <v>1</v>
      </c>
      <c r="DB1171">
        <v>0</v>
      </c>
      <c r="DC1171">
        <v>0</v>
      </c>
      <c r="DD1171">
        <v>1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"12/16/2021 14:47:51.617"</f>
        <v>12/16/2021 14:47:51.617</v>
      </c>
      <c r="C1172" t="str">
        <f t="shared" si="55"/>
        <v>FFDFD3C0</v>
      </c>
      <c r="D1172" t="s">
        <v>124</v>
      </c>
      <c r="E1172">
        <v>5</v>
      </c>
      <c r="F1172">
        <v>1005</v>
      </c>
      <c r="G1172" t="s">
        <v>114</v>
      </c>
      <c r="J1172" t="s">
        <v>125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"14:47:51.367"</f>
        <v>14:47:51.367</v>
      </c>
      <c r="T1172" t="str">
        <f>"14:47:50.867"</f>
        <v>14:47:50.867</v>
      </c>
      <c r="U1172" t="str">
        <f t="shared" si="54"/>
        <v>A0F928</v>
      </c>
      <c r="V1172">
        <v>0</v>
      </c>
      <c r="W1172">
        <v>0</v>
      </c>
      <c r="X1172">
        <v>2</v>
      </c>
      <c r="Z1172">
        <v>0</v>
      </c>
      <c r="AA1172">
        <v>9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2</v>
      </c>
      <c r="AH1172">
        <v>1</v>
      </c>
      <c r="AI1172" t="s">
        <v>606</v>
      </c>
      <c r="AJ1172">
        <v>35.834333999999998</v>
      </c>
      <c r="AK1172" t="s">
        <v>669</v>
      </c>
      <c r="AL1172">
        <v>-83.962562000000005</v>
      </c>
      <c r="AM1172">
        <v>25</v>
      </c>
      <c r="AN1172">
        <v>1000</v>
      </c>
      <c r="AO1172" t="s">
        <v>118</v>
      </c>
      <c r="AP1172">
        <v>-60</v>
      </c>
      <c r="AQ1172">
        <v>-70</v>
      </c>
      <c r="AR1172">
        <v>-320</v>
      </c>
      <c r="AZ1172">
        <v>300</v>
      </c>
      <c r="BA1172">
        <v>1</v>
      </c>
      <c r="BB1172" t="str">
        <f t="shared" si="56"/>
        <v xml:space="preserve">N162AM  </v>
      </c>
      <c r="BC1172">
        <v>1</v>
      </c>
      <c r="BE1172">
        <v>0</v>
      </c>
      <c r="BF1172">
        <v>0</v>
      </c>
      <c r="BG1172">
        <v>0</v>
      </c>
      <c r="BH1172">
        <v>1300</v>
      </c>
      <c r="BI1172">
        <v>1</v>
      </c>
      <c r="BJ1172">
        <v>1</v>
      </c>
      <c r="BK1172">
        <v>1</v>
      </c>
      <c r="BL1172">
        <v>0</v>
      </c>
      <c r="BO1172">
        <v>0</v>
      </c>
      <c r="BP1172">
        <v>0</v>
      </c>
      <c r="BW1172" t="str">
        <f>"14:47:51.369"</f>
        <v>14:47:51.369</v>
      </c>
      <c r="CJ1172">
        <v>3</v>
      </c>
      <c r="CK1172">
        <v>2</v>
      </c>
      <c r="CL1172">
        <v>0</v>
      </c>
      <c r="CM1172">
        <v>2</v>
      </c>
      <c r="CN1172">
        <v>0</v>
      </c>
      <c r="CO1172">
        <v>2</v>
      </c>
      <c r="CP1172" t="s">
        <v>119</v>
      </c>
      <c r="CQ1172">
        <v>232</v>
      </c>
      <c r="CR1172">
        <v>1</v>
      </c>
      <c r="CW1172">
        <v>15305639</v>
      </c>
      <c r="CY1172">
        <v>1</v>
      </c>
      <c r="CZ1172">
        <v>0</v>
      </c>
      <c r="DA1172">
        <v>1</v>
      </c>
      <c r="DB1172">
        <v>0</v>
      </c>
      <c r="DC1172">
        <v>0</v>
      </c>
      <c r="DD1172">
        <v>1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"12/16/2021 14:47:53.039"</f>
        <v>12/16/2021 14:47:53.039</v>
      </c>
      <c r="C1173" t="str">
        <f t="shared" si="55"/>
        <v>FFDFD3C0</v>
      </c>
      <c r="D1173" t="s">
        <v>133</v>
      </c>
      <c r="E1173">
        <v>44</v>
      </c>
      <c r="H1173">
        <v>131</v>
      </c>
      <c r="I1173" t="s">
        <v>134</v>
      </c>
      <c r="J1173" t="s">
        <v>135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"14:47:52.727"</f>
        <v>14:47:52.727</v>
      </c>
      <c r="T1173" t="str">
        <f>"14:47:51.427"</f>
        <v>14:47:51.427</v>
      </c>
      <c r="U1173" t="str">
        <f t="shared" si="54"/>
        <v>A0F928</v>
      </c>
      <c r="V1173">
        <v>0</v>
      </c>
      <c r="W1173">
        <v>0</v>
      </c>
      <c r="X1173">
        <v>2</v>
      </c>
      <c r="Z1173">
        <v>0</v>
      </c>
      <c r="AA1173">
        <v>9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2</v>
      </c>
      <c r="AH1173">
        <v>1</v>
      </c>
      <c r="AI1173" t="s">
        <v>670</v>
      </c>
      <c r="AJ1173">
        <v>35.833905000000001</v>
      </c>
      <c r="AK1173" t="s">
        <v>671</v>
      </c>
      <c r="AL1173">
        <v>-83.963013000000004</v>
      </c>
      <c r="AM1173">
        <v>25</v>
      </c>
      <c r="AN1173">
        <v>1000</v>
      </c>
      <c r="AO1173" t="s">
        <v>118</v>
      </c>
      <c r="AP1173">
        <v>-61</v>
      </c>
      <c r="AQ1173">
        <v>-69</v>
      </c>
      <c r="AR1173">
        <v>-256</v>
      </c>
      <c r="AZ1173">
        <v>300</v>
      </c>
      <c r="BA1173">
        <v>1</v>
      </c>
      <c r="BB1173" t="str">
        <f t="shared" si="56"/>
        <v xml:space="preserve">N162AM  </v>
      </c>
      <c r="BC1173">
        <v>1</v>
      </c>
      <c r="BE1173">
        <v>0</v>
      </c>
      <c r="BF1173">
        <v>0</v>
      </c>
      <c r="BG1173">
        <v>0</v>
      </c>
      <c r="BH1173">
        <v>1275</v>
      </c>
      <c r="BI1173">
        <v>1</v>
      </c>
      <c r="BJ1173">
        <v>1</v>
      </c>
      <c r="BK1173">
        <v>1</v>
      </c>
      <c r="BL1173">
        <v>0</v>
      </c>
      <c r="BO1173">
        <v>0</v>
      </c>
      <c r="BP1173">
        <v>0</v>
      </c>
      <c r="BW1173" t="str">
        <f>"14:47:52.732"</f>
        <v>14:47:52.732</v>
      </c>
      <c r="CJ1173">
        <v>3</v>
      </c>
      <c r="CK1173">
        <v>2</v>
      </c>
      <c r="CL1173">
        <v>0</v>
      </c>
      <c r="CM1173">
        <v>2</v>
      </c>
      <c r="CN1173">
        <v>0</v>
      </c>
      <c r="CO1173">
        <v>2</v>
      </c>
      <c r="CP1173" t="s">
        <v>119</v>
      </c>
      <c r="CQ1173">
        <v>232</v>
      </c>
      <c r="CR1173">
        <v>1</v>
      </c>
      <c r="CW1173">
        <v>15307721</v>
      </c>
      <c r="CY1173">
        <v>1</v>
      </c>
      <c r="CZ1173">
        <v>0</v>
      </c>
      <c r="DA1173">
        <v>0</v>
      </c>
      <c r="DB1173">
        <v>0</v>
      </c>
      <c r="DC1173">
        <v>0</v>
      </c>
      <c r="DD1173">
        <v>1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"12/16/2021 14:47:53.039"</f>
        <v>12/16/2021 14:47:53.039</v>
      </c>
      <c r="C1174" t="str">
        <f t="shared" si="55"/>
        <v>FFDFD3C0</v>
      </c>
      <c r="D1174" t="s">
        <v>124</v>
      </c>
      <c r="E1174">
        <v>10</v>
      </c>
      <c r="F1174">
        <v>1010</v>
      </c>
      <c r="G1174" t="s">
        <v>130</v>
      </c>
      <c r="J1174" t="s">
        <v>125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"14:47:52.727"</f>
        <v>14:47:52.727</v>
      </c>
      <c r="T1174" t="str">
        <f>"14:47:51.427"</f>
        <v>14:47:51.427</v>
      </c>
      <c r="U1174" t="str">
        <f t="shared" si="54"/>
        <v>A0F928</v>
      </c>
      <c r="V1174">
        <v>0</v>
      </c>
      <c r="W1174">
        <v>0</v>
      </c>
      <c r="X1174">
        <v>2</v>
      </c>
      <c r="Z1174">
        <v>0</v>
      </c>
      <c r="AA1174">
        <v>9</v>
      </c>
      <c r="AB1174">
        <v>3</v>
      </c>
      <c r="AC1174">
        <v>0</v>
      </c>
      <c r="AD1174">
        <v>10</v>
      </c>
      <c r="AE1174">
        <v>0</v>
      </c>
      <c r="AF1174">
        <v>0</v>
      </c>
      <c r="AG1174">
        <v>2</v>
      </c>
      <c r="AH1174">
        <v>1</v>
      </c>
      <c r="AI1174" t="s">
        <v>670</v>
      </c>
      <c r="AJ1174">
        <v>35.833905000000001</v>
      </c>
      <c r="AK1174" t="s">
        <v>671</v>
      </c>
      <c r="AL1174">
        <v>-83.963013000000004</v>
      </c>
      <c r="AM1174">
        <v>25</v>
      </c>
      <c r="AN1174">
        <v>1000</v>
      </c>
      <c r="AO1174" t="s">
        <v>118</v>
      </c>
      <c r="AP1174">
        <v>-61</v>
      </c>
      <c r="AQ1174">
        <v>-69</v>
      </c>
      <c r="AR1174">
        <v>-256</v>
      </c>
      <c r="AZ1174">
        <v>300</v>
      </c>
      <c r="BA1174">
        <v>1</v>
      </c>
      <c r="BB1174" t="str">
        <f t="shared" si="56"/>
        <v xml:space="preserve">N162AM  </v>
      </c>
      <c r="BC1174">
        <v>1</v>
      </c>
      <c r="BE1174">
        <v>0</v>
      </c>
      <c r="BF1174">
        <v>0</v>
      </c>
      <c r="BG1174">
        <v>0</v>
      </c>
      <c r="BH1174">
        <v>1275</v>
      </c>
      <c r="BI1174">
        <v>1</v>
      </c>
      <c r="BJ1174">
        <v>1</v>
      </c>
      <c r="BK1174">
        <v>1</v>
      </c>
      <c r="BL1174">
        <v>0</v>
      </c>
      <c r="BO1174">
        <v>0</v>
      </c>
      <c r="BP1174">
        <v>0</v>
      </c>
      <c r="BW1174" t="str">
        <f>"14:47:52.732"</f>
        <v>14:47:52.732</v>
      </c>
      <c r="CJ1174">
        <v>2</v>
      </c>
      <c r="CK1174">
        <v>2</v>
      </c>
      <c r="CL1174">
        <v>0</v>
      </c>
      <c r="CM1174">
        <v>2</v>
      </c>
      <c r="CN1174">
        <v>0</v>
      </c>
      <c r="CO1174">
        <v>2</v>
      </c>
      <c r="CP1174" t="s">
        <v>119</v>
      </c>
      <c r="CQ1174">
        <v>232</v>
      </c>
      <c r="CR1174">
        <v>1</v>
      </c>
      <c r="CW1174">
        <v>15307721</v>
      </c>
      <c r="CY1174">
        <v>1</v>
      </c>
      <c r="CZ1174">
        <v>0</v>
      </c>
      <c r="DA1174">
        <v>1</v>
      </c>
      <c r="DB1174">
        <v>0</v>
      </c>
      <c r="DC1174">
        <v>0</v>
      </c>
      <c r="DD1174">
        <v>1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"12/16/2021 14:47:53.039"</f>
        <v>12/16/2021 14:47:53.039</v>
      </c>
      <c r="C1175" t="str">
        <f t="shared" si="55"/>
        <v>FFDFD3C0</v>
      </c>
      <c r="D1175" t="s">
        <v>113</v>
      </c>
      <c r="E1175">
        <v>8</v>
      </c>
      <c r="H1175">
        <v>176</v>
      </c>
      <c r="I1175" t="s">
        <v>114</v>
      </c>
      <c r="J1175" t="s">
        <v>115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"14:47:52.727"</f>
        <v>14:47:52.727</v>
      </c>
      <c r="T1175" t="str">
        <f>"14:47:51.427"</f>
        <v>14:47:51.427</v>
      </c>
      <c r="U1175" t="str">
        <f t="shared" si="54"/>
        <v>A0F928</v>
      </c>
      <c r="V1175">
        <v>0</v>
      </c>
      <c r="W1175">
        <v>0</v>
      </c>
      <c r="X1175">
        <v>2</v>
      </c>
      <c r="Z1175">
        <v>0</v>
      </c>
      <c r="AA1175">
        <v>9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2</v>
      </c>
      <c r="AH1175">
        <v>1</v>
      </c>
      <c r="AI1175" t="s">
        <v>670</v>
      </c>
      <c r="AJ1175">
        <v>35.833905000000001</v>
      </c>
      <c r="AK1175" t="s">
        <v>671</v>
      </c>
      <c r="AL1175">
        <v>-83.963013000000004</v>
      </c>
      <c r="AM1175">
        <v>25</v>
      </c>
      <c r="AN1175">
        <v>1000</v>
      </c>
      <c r="AO1175" t="s">
        <v>118</v>
      </c>
      <c r="AP1175">
        <v>-61</v>
      </c>
      <c r="AQ1175">
        <v>-69</v>
      </c>
      <c r="AR1175">
        <v>-256</v>
      </c>
      <c r="AZ1175">
        <v>300</v>
      </c>
      <c r="BA1175">
        <v>1</v>
      </c>
      <c r="BB1175" t="str">
        <f t="shared" si="56"/>
        <v xml:space="preserve">N162AM  </v>
      </c>
      <c r="BC1175">
        <v>1</v>
      </c>
      <c r="BE1175">
        <v>0</v>
      </c>
      <c r="BF1175">
        <v>0</v>
      </c>
      <c r="BG1175">
        <v>0</v>
      </c>
      <c r="BH1175">
        <v>1275</v>
      </c>
      <c r="BI1175">
        <v>1</v>
      </c>
      <c r="BJ1175">
        <v>1</v>
      </c>
      <c r="BK1175">
        <v>1</v>
      </c>
      <c r="BL1175">
        <v>0</v>
      </c>
      <c r="BO1175">
        <v>0</v>
      </c>
      <c r="BP1175">
        <v>0</v>
      </c>
      <c r="BW1175" t="str">
        <f>"14:47:52.732"</f>
        <v>14:47:52.732</v>
      </c>
      <c r="CJ1175">
        <v>3</v>
      </c>
      <c r="CK1175">
        <v>2</v>
      </c>
      <c r="CL1175">
        <v>0</v>
      </c>
      <c r="CM1175">
        <v>2</v>
      </c>
      <c r="CN1175">
        <v>0</v>
      </c>
      <c r="CO1175">
        <v>2</v>
      </c>
      <c r="CP1175" t="s">
        <v>119</v>
      </c>
      <c r="CQ1175">
        <v>232</v>
      </c>
      <c r="CR1175">
        <v>1</v>
      </c>
      <c r="CW1175">
        <v>15307721</v>
      </c>
      <c r="CY1175">
        <v>1</v>
      </c>
      <c r="CZ1175">
        <v>0</v>
      </c>
      <c r="DA1175">
        <v>1</v>
      </c>
      <c r="DB1175">
        <v>0</v>
      </c>
      <c r="DC1175">
        <v>0</v>
      </c>
      <c r="DD1175">
        <v>1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"12/16/2021 14:47:53.039"</f>
        <v>12/16/2021 14:47:53.039</v>
      </c>
      <c r="C1176" t="str">
        <f t="shared" si="55"/>
        <v>FFDFD3C0</v>
      </c>
      <c r="D1176" t="s">
        <v>124</v>
      </c>
      <c r="E1176">
        <v>5</v>
      </c>
      <c r="F1176">
        <v>1005</v>
      </c>
      <c r="G1176" t="s">
        <v>114</v>
      </c>
      <c r="J1176" t="s">
        <v>125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"14:47:52.727"</f>
        <v>14:47:52.727</v>
      </c>
      <c r="T1176" t="str">
        <f>"14:47:51.427"</f>
        <v>14:47:51.427</v>
      </c>
      <c r="U1176" t="str">
        <f t="shared" si="54"/>
        <v>A0F928</v>
      </c>
      <c r="V1176">
        <v>0</v>
      </c>
      <c r="W1176">
        <v>0</v>
      </c>
      <c r="X1176">
        <v>2</v>
      </c>
      <c r="Z1176">
        <v>0</v>
      </c>
      <c r="AA1176">
        <v>9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2</v>
      </c>
      <c r="AH1176">
        <v>1</v>
      </c>
      <c r="AI1176" t="s">
        <v>670</v>
      </c>
      <c r="AJ1176">
        <v>35.833905000000001</v>
      </c>
      <c r="AK1176" t="s">
        <v>671</v>
      </c>
      <c r="AL1176">
        <v>-83.963013000000004</v>
      </c>
      <c r="AM1176">
        <v>25</v>
      </c>
      <c r="AN1176">
        <v>1000</v>
      </c>
      <c r="AO1176" t="s">
        <v>118</v>
      </c>
      <c r="AP1176">
        <v>-61</v>
      </c>
      <c r="AQ1176">
        <v>-69</v>
      </c>
      <c r="AR1176">
        <v>-256</v>
      </c>
      <c r="AZ1176">
        <v>300</v>
      </c>
      <c r="BA1176">
        <v>1</v>
      </c>
      <c r="BB1176" t="str">
        <f t="shared" si="56"/>
        <v xml:space="preserve">N162AM  </v>
      </c>
      <c r="BC1176">
        <v>1</v>
      </c>
      <c r="BE1176">
        <v>0</v>
      </c>
      <c r="BF1176">
        <v>0</v>
      </c>
      <c r="BG1176">
        <v>0</v>
      </c>
      <c r="BH1176">
        <v>1275</v>
      </c>
      <c r="BI1176">
        <v>1</v>
      </c>
      <c r="BJ1176">
        <v>1</v>
      </c>
      <c r="BK1176">
        <v>1</v>
      </c>
      <c r="BL1176">
        <v>0</v>
      </c>
      <c r="BO1176">
        <v>0</v>
      </c>
      <c r="BP1176">
        <v>0</v>
      </c>
      <c r="BW1176" t="str">
        <f>"14:47:52.732"</f>
        <v>14:47:52.732</v>
      </c>
      <c r="CJ1176">
        <v>3</v>
      </c>
      <c r="CK1176">
        <v>2</v>
      </c>
      <c r="CL1176">
        <v>0</v>
      </c>
      <c r="CM1176">
        <v>2</v>
      </c>
      <c r="CN1176">
        <v>0</v>
      </c>
      <c r="CO1176">
        <v>2</v>
      </c>
      <c r="CP1176" t="s">
        <v>119</v>
      </c>
      <c r="CQ1176">
        <v>232</v>
      </c>
      <c r="CR1176">
        <v>1</v>
      </c>
      <c r="CW1176">
        <v>15307721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1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"12/16/2021 14:47:53.883"</f>
        <v>12/16/2021 14:47:53.883</v>
      </c>
      <c r="C1177" t="str">
        <f t="shared" si="55"/>
        <v>FFDFD3C0</v>
      </c>
      <c r="D1177" t="s">
        <v>124</v>
      </c>
      <c r="E1177">
        <v>5</v>
      </c>
      <c r="F1177">
        <v>1005</v>
      </c>
      <c r="G1177" t="s">
        <v>114</v>
      </c>
      <c r="J1177" t="s">
        <v>125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"14:47:53.648"</f>
        <v>14:47:53.648</v>
      </c>
      <c r="T1177" t="str">
        <f>"14:47:53.248"</f>
        <v>14:47:53.248</v>
      </c>
      <c r="U1177" t="str">
        <f t="shared" si="54"/>
        <v>A0F928</v>
      </c>
      <c r="V1177">
        <v>0</v>
      </c>
      <c r="W1177">
        <v>0</v>
      </c>
      <c r="X1177">
        <v>2</v>
      </c>
      <c r="Z1177">
        <v>0</v>
      </c>
      <c r="AA1177">
        <v>9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2</v>
      </c>
      <c r="AH1177">
        <v>1</v>
      </c>
      <c r="AI1177" t="s">
        <v>672</v>
      </c>
      <c r="AJ1177">
        <v>35.833626000000002</v>
      </c>
      <c r="AK1177" t="s">
        <v>335</v>
      </c>
      <c r="AL1177">
        <v>-83.963356000000005</v>
      </c>
      <c r="AM1177">
        <v>25</v>
      </c>
      <c r="AN1177">
        <v>1000</v>
      </c>
      <c r="AO1177" t="s">
        <v>118</v>
      </c>
      <c r="AP1177">
        <v>-63</v>
      </c>
      <c r="AQ1177">
        <v>-66</v>
      </c>
      <c r="AR1177">
        <v>-256</v>
      </c>
      <c r="AZ1177">
        <v>300</v>
      </c>
      <c r="BA1177">
        <v>1</v>
      </c>
      <c r="BB1177" t="str">
        <f t="shared" si="56"/>
        <v xml:space="preserve">N162AM  </v>
      </c>
      <c r="BC1177">
        <v>1</v>
      </c>
      <c r="BE1177">
        <v>0</v>
      </c>
      <c r="BF1177">
        <v>0</v>
      </c>
      <c r="BG1177">
        <v>0</v>
      </c>
      <c r="BH1177">
        <v>1250</v>
      </c>
      <c r="BI1177">
        <v>1</v>
      </c>
      <c r="BJ1177">
        <v>1</v>
      </c>
      <c r="BK1177">
        <v>1</v>
      </c>
      <c r="BL1177">
        <v>0</v>
      </c>
      <c r="BO1177">
        <v>0</v>
      </c>
      <c r="BP1177">
        <v>0</v>
      </c>
      <c r="BW1177" t="str">
        <f>"14:47:53.655"</f>
        <v>14:47:53.655</v>
      </c>
      <c r="CJ1177">
        <v>3</v>
      </c>
      <c r="CK1177">
        <v>2</v>
      </c>
      <c r="CL1177">
        <v>0</v>
      </c>
      <c r="CM1177">
        <v>2</v>
      </c>
      <c r="CN1177">
        <v>0</v>
      </c>
      <c r="CO1177">
        <v>2</v>
      </c>
      <c r="CP1177" t="s">
        <v>119</v>
      </c>
      <c r="CQ1177">
        <v>232</v>
      </c>
      <c r="CR1177">
        <v>1</v>
      </c>
      <c r="CW1177">
        <v>15309183</v>
      </c>
      <c r="CY1177">
        <v>1</v>
      </c>
      <c r="CZ1177">
        <v>0</v>
      </c>
      <c r="DA1177">
        <v>0</v>
      </c>
      <c r="DB1177">
        <v>0</v>
      </c>
      <c r="DC1177">
        <v>0</v>
      </c>
      <c r="DD1177">
        <v>1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"12/16/2021 14:47:53.898"</f>
        <v>12/16/2021 14:47:53.898</v>
      </c>
      <c r="C1178" t="str">
        <f t="shared" si="55"/>
        <v>FFDFD3C0</v>
      </c>
      <c r="D1178" t="s">
        <v>124</v>
      </c>
      <c r="E1178">
        <v>10</v>
      </c>
      <c r="F1178">
        <v>1010</v>
      </c>
      <c r="G1178" t="s">
        <v>130</v>
      </c>
      <c r="J1178" t="s">
        <v>125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"14:47:53.648"</f>
        <v>14:47:53.648</v>
      </c>
      <c r="T1178" t="str">
        <f>"14:47:53.248"</f>
        <v>14:47:53.248</v>
      </c>
      <c r="U1178" t="str">
        <f t="shared" si="54"/>
        <v>A0F928</v>
      </c>
      <c r="V1178">
        <v>0</v>
      </c>
      <c r="W1178">
        <v>0</v>
      </c>
      <c r="X1178">
        <v>2</v>
      </c>
      <c r="Z1178">
        <v>0</v>
      </c>
      <c r="AA1178">
        <v>9</v>
      </c>
      <c r="AB1178">
        <v>3</v>
      </c>
      <c r="AC1178">
        <v>0</v>
      </c>
      <c r="AD1178">
        <v>10</v>
      </c>
      <c r="AE1178">
        <v>0</v>
      </c>
      <c r="AF1178">
        <v>0</v>
      </c>
      <c r="AG1178">
        <v>2</v>
      </c>
      <c r="AH1178">
        <v>1</v>
      </c>
      <c r="AI1178" t="s">
        <v>672</v>
      </c>
      <c r="AJ1178">
        <v>35.833626000000002</v>
      </c>
      <c r="AK1178" t="s">
        <v>335</v>
      </c>
      <c r="AL1178">
        <v>-83.963356000000005</v>
      </c>
      <c r="AM1178">
        <v>25</v>
      </c>
      <c r="AN1178">
        <v>1000</v>
      </c>
      <c r="AO1178" t="s">
        <v>118</v>
      </c>
      <c r="AP1178">
        <v>-63</v>
      </c>
      <c r="AQ1178">
        <v>-66</v>
      </c>
      <c r="AR1178">
        <v>-256</v>
      </c>
      <c r="AZ1178">
        <v>300</v>
      </c>
      <c r="BA1178">
        <v>1</v>
      </c>
      <c r="BB1178" t="str">
        <f t="shared" si="56"/>
        <v xml:space="preserve">N162AM  </v>
      </c>
      <c r="BC1178">
        <v>1</v>
      </c>
      <c r="BE1178">
        <v>0</v>
      </c>
      <c r="BF1178">
        <v>0</v>
      </c>
      <c r="BG1178">
        <v>0</v>
      </c>
      <c r="BH1178">
        <v>1250</v>
      </c>
      <c r="BI1178">
        <v>1</v>
      </c>
      <c r="BJ1178">
        <v>1</v>
      </c>
      <c r="BK1178">
        <v>1</v>
      </c>
      <c r="BL1178">
        <v>0</v>
      </c>
      <c r="BO1178">
        <v>0</v>
      </c>
      <c r="BP1178">
        <v>0</v>
      </c>
      <c r="BW1178" t="str">
        <f>"14:47:53.655"</f>
        <v>14:47:53.655</v>
      </c>
      <c r="CJ1178">
        <v>2</v>
      </c>
      <c r="CK1178">
        <v>2</v>
      </c>
      <c r="CL1178">
        <v>0</v>
      </c>
      <c r="CM1178">
        <v>2</v>
      </c>
      <c r="CN1178">
        <v>0</v>
      </c>
      <c r="CO1178">
        <v>2</v>
      </c>
      <c r="CP1178" t="s">
        <v>119</v>
      </c>
      <c r="CQ1178">
        <v>232</v>
      </c>
      <c r="CR1178">
        <v>1</v>
      </c>
      <c r="CW1178">
        <v>15309183</v>
      </c>
      <c r="CY1178">
        <v>1</v>
      </c>
      <c r="CZ1178">
        <v>0</v>
      </c>
      <c r="DA1178">
        <v>1</v>
      </c>
      <c r="DB1178">
        <v>0</v>
      </c>
      <c r="DC1178">
        <v>0</v>
      </c>
      <c r="DD1178">
        <v>1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"12/16/2021 14:47:53.898"</f>
        <v>12/16/2021 14:47:53.898</v>
      </c>
      <c r="C1179" t="str">
        <f t="shared" si="55"/>
        <v>FFDFD3C0</v>
      </c>
      <c r="D1179" t="s">
        <v>113</v>
      </c>
      <c r="E1179">
        <v>8</v>
      </c>
      <c r="H1179">
        <v>176</v>
      </c>
      <c r="I1179" t="s">
        <v>114</v>
      </c>
      <c r="J1179" t="s">
        <v>115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"14:47:53.648"</f>
        <v>14:47:53.648</v>
      </c>
      <c r="T1179" t="str">
        <f>"14:47:53.248"</f>
        <v>14:47:53.248</v>
      </c>
      <c r="U1179" t="str">
        <f t="shared" si="54"/>
        <v>A0F928</v>
      </c>
      <c r="V1179">
        <v>0</v>
      </c>
      <c r="W1179">
        <v>0</v>
      </c>
      <c r="X1179">
        <v>2</v>
      </c>
      <c r="Z1179">
        <v>0</v>
      </c>
      <c r="AA1179">
        <v>9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2</v>
      </c>
      <c r="AH1179">
        <v>1</v>
      </c>
      <c r="AI1179" t="s">
        <v>672</v>
      </c>
      <c r="AJ1179">
        <v>35.833626000000002</v>
      </c>
      <c r="AK1179" t="s">
        <v>335</v>
      </c>
      <c r="AL1179">
        <v>-83.963356000000005</v>
      </c>
      <c r="AM1179">
        <v>25</v>
      </c>
      <c r="AN1179">
        <v>1000</v>
      </c>
      <c r="AO1179" t="s">
        <v>118</v>
      </c>
      <c r="AP1179">
        <v>-63</v>
      </c>
      <c r="AQ1179">
        <v>-66</v>
      </c>
      <c r="AR1179">
        <v>-256</v>
      </c>
      <c r="AZ1179">
        <v>300</v>
      </c>
      <c r="BA1179">
        <v>1</v>
      </c>
      <c r="BB1179" t="str">
        <f t="shared" si="56"/>
        <v xml:space="preserve">N162AM  </v>
      </c>
      <c r="BC1179">
        <v>1</v>
      </c>
      <c r="BE1179">
        <v>0</v>
      </c>
      <c r="BF1179">
        <v>0</v>
      </c>
      <c r="BG1179">
        <v>0</v>
      </c>
      <c r="BH1179">
        <v>1250</v>
      </c>
      <c r="BI1179">
        <v>1</v>
      </c>
      <c r="BJ1179">
        <v>1</v>
      </c>
      <c r="BK1179">
        <v>1</v>
      </c>
      <c r="BL1179">
        <v>0</v>
      </c>
      <c r="BO1179">
        <v>0</v>
      </c>
      <c r="BP1179">
        <v>0</v>
      </c>
      <c r="BW1179" t="str">
        <f>"14:47:53.655"</f>
        <v>14:47:53.655</v>
      </c>
      <c r="CJ1179">
        <v>3</v>
      </c>
      <c r="CK1179">
        <v>2</v>
      </c>
      <c r="CL1179">
        <v>0</v>
      </c>
      <c r="CM1179">
        <v>2</v>
      </c>
      <c r="CN1179">
        <v>0</v>
      </c>
      <c r="CO1179">
        <v>2</v>
      </c>
      <c r="CP1179" t="s">
        <v>119</v>
      </c>
      <c r="CQ1179">
        <v>232</v>
      </c>
      <c r="CR1179">
        <v>1</v>
      </c>
      <c r="CW1179">
        <v>15309183</v>
      </c>
      <c r="CY1179">
        <v>1</v>
      </c>
      <c r="CZ1179">
        <v>0</v>
      </c>
      <c r="DA1179">
        <v>1</v>
      </c>
      <c r="DB1179">
        <v>0</v>
      </c>
      <c r="DC1179">
        <v>0</v>
      </c>
      <c r="DD1179">
        <v>1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"12/16/2021 14:47:53.898"</f>
        <v>12/16/2021 14:47:53.898</v>
      </c>
      <c r="C1180" t="str">
        <f t="shared" si="55"/>
        <v>FFDFD3C0</v>
      </c>
      <c r="D1180" t="s">
        <v>133</v>
      </c>
      <c r="E1180">
        <v>44</v>
      </c>
      <c r="H1180">
        <v>131</v>
      </c>
      <c r="I1180" t="s">
        <v>134</v>
      </c>
      <c r="J1180" t="s">
        <v>135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>"14:47:53.648"</f>
        <v>14:47:53.648</v>
      </c>
      <c r="T1180" t="str">
        <f>"14:47:53.248"</f>
        <v>14:47:53.248</v>
      </c>
      <c r="U1180" t="str">
        <f t="shared" si="54"/>
        <v>A0F928</v>
      </c>
      <c r="V1180">
        <v>0</v>
      </c>
      <c r="W1180">
        <v>0</v>
      </c>
      <c r="X1180">
        <v>2</v>
      </c>
      <c r="Z1180">
        <v>0</v>
      </c>
      <c r="AA1180">
        <v>9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2</v>
      </c>
      <c r="AH1180">
        <v>1</v>
      </c>
      <c r="AI1180" t="s">
        <v>672</v>
      </c>
      <c r="AJ1180">
        <v>35.833626000000002</v>
      </c>
      <c r="AK1180" t="s">
        <v>335</v>
      </c>
      <c r="AL1180">
        <v>-83.963356000000005</v>
      </c>
      <c r="AM1180">
        <v>25</v>
      </c>
      <c r="AN1180">
        <v>1000</v>
      </c>
      <c r="AO1180" t="s">
        <v>118</v>
      </c>
      <c r="AP1180">
        <v>-63</v>
      </c>
      <c r="AQ1180">
        <v>-66</v>
      </c>
      <c r="AR1180">
        <v>-256</v>
      </c>
      <c r="AZ1180">
        <v>300</v>
      </c>
      <c r="BA1180">
        <v>1</v>
      </c>
      <c r="BB1180" t="str">
        <f t="shared" si="56"/>
        <v xml:space="preserve">N162AM  </v>
      </c>
      <c r="BC1180">
        <v>1</v>
      </c>
      <c r="BE1180">
        <v>0</v>
      </c>
      <c r="BF1180">
        <v>0</v>
      </c>
      <c r="BG1180">
        <v>0</v>
      </c>
      <c r="BH1180">
        <v>1250</v>
      </c>
      <c r="BI1180">
        <v>1</v>
      </c>
      <c r="BJ1180">
        <v>1</v>
      </c>
      <c r="BK1180">
        <v>1</v>
      </c>
      <c r="BL1180">
        <v>0</v>
      </c>
      <c r="BO1180">
        <v>0</v>
      </c>
      <c r="BP1180">
        <v>0</v>
      </c>
      <c r="BW1180" t="str">
        <f>"14:47:53.655"</f>
        <v>14:47:53.655</v>
      </c>
      <c r="CJ1180">
        <v>3</v>
      </c>
      <c r="CK1180">
        <v>2</v>
      </c>
      <c r="CL1180">
        <v>0</v>
      </c>
      <c r="CM1180">
        <v>2</v>
      </c>
      <c r="CN1180">
        <v>0</v>
      </c>
      <c r="CO1180">
        <v>2</v>
      </c>
      <c r="CP1180" t="s">
        <v>119</v>
      </c>
      <c r="CQ1180">
        <v>232</v>
      </c>
      <c r="CR1180">
        <v>1</v>
      </c>
      <c r="CW1180">
        <v>15309183</v>
      </c>
      <c r="CY1180">
        <v>1</v>
      </c>
      <c r="CZ1180">
        <v>0</v>
      </c>
      <c r="DA1180">
        <v>1</v>
      </c>
      <c r="DB1180">
        <v>0</v>
      </c>
      <c r="DC1180">
        <v>0</v>
      </c>
      <c r="DD1180">
        <v>1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"12/16/2021 14:47:54.866"</f>
        <v>12/16/2021 14:47:54.866</v>
      </c>
      <c r="C1181" t="str">
        <f t="shared" si="55"/>
        <v>FFDFD3C0</v>
      </c>
      <c r="D1181" t="s">
        <v>113</v>
      </c>
      <c r="E1181">
        <v>8</v>
      </c>
      <c r="H1181">
        <v>176</v>
      </c>
      <c r="I1181" t="s">
        <v>114</v>
      </c>
      <c r="J1181" t="s">
        <v>115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"14:47:54.602"</f>
        <v>14:47:54.602</v>
      </c>
      <c r="T1181" t="str">
        <f>"14:47:53.702"</f>
        <v>14:47:53.702</v>
      </c>
      <c r="U1181" t="str">
        <f t="shared" si="54"/>
        <v>A0F928</v>
      </c>
      <c r="V1181">
        <v>0</v>
      </c>
      <c r="W1181">
        <v>0</v>
      </c>
      <c r="X1181">
        <v>2</v>
      </c>
      <c r="Z1181">
        <v>0</v>
      </c>
      <c r="AA1181">
        <v>9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2</v>
      </c>
      <c r="AH1181">
        <v>1</v>
      </c>
      <c r="AI1181" t="s">
        <v>673</v>
      </c>
      <c r="AJ1181">
        <v>35.833368</v>
      </c>
      <c r="AK1181" t="s">
        <v>674</v>
      </c>
      <c r="AL1181">
        <v>-83.963699000000005</v>
      </c>
      <c r="AM1181">
        <v>25</v>
      </c>
      <c r="AN1181">
        <v>1000</v>
      </c>
      <c r="AO1181" t="s">
        <v>118</v>
      </c>
      <c r="AP1181">
        <v>-63</v>
      </c>
      <c r="AQ1181">
        <v>-65</v>
      </c>
      <c r="AR1181">
        <v>-256</v>
      </c>
      <c r="AZ1181">
        <v>300</v>
      </c>
      <c r="BA1181">
        <v>1</v>
      </c>
      <c r="BB1181" t="str">
        <f t="shared" si="56"/>
        <v xml:space="preserve">N162AM  </v>
      </c>
      <c r="BC1181">
        <v>1</v>
      </c>
      <c r="BE1181">
        <v>0</v>
      </c>
      <c r="BF1181">
        <v>0</v>
      </c>
      <c r="BG1181">
        <v>0</v>
      </c>
      <c r="BH1181">
        <v>1250</v>
      </c>
      <c r="BI1181">
        <v>1</v>
      </c>
      <c r="BJ1181">
        <v>1</v>
      </c>
      <c r="BK1181">
        <v>1</v>
      </c>
      <c r="BL1181">
        <v>0</v>
      </c>
      <c r="BO1181">
        <v>0</v>
      </c>
      <c r="BP1181">
        <v>0</v>
      </c>
      <c r="BW1181" t="str">
        <f>"14:47:54.603"</f>
        <v>14:47:54.603</v>
      </c>
      <c r="CJ1181">
        <v>3</v>
      </c>
      <c r="CK1181">
        <v>2</v>
      </c>
      <c r="CL1181">
        <v>0</v>
      </c>
      <c r="CM1181">
        <v>2</v>
      </c>
      <c r="CN1181">
        <v>0</v>
      </c>
      <c r="CO1181">
        <v>2</v>
      </c>
      <c r="CP1181" t="s">
        <v>119</v>
      </c>
      <c r="CQ1181">
        <v>232</v>
      </c>
      <c r="CR1181">
        <v>1</v>
      </c>
      <c r="CW1181">
        <v>15310712</v>
      </c>
      <c r="CY1181">
        <v>1</v>
      </c>
      <c r="CZ1181">
        <v>0</v>
      </c>
      <c r="DA1181">
        <v>0</v>
      </c>
      <c r="DB1181">
        <v>0</v>
      </c>
      <c r="DC1181">
        <v>0</v>
      </c>
      <c r="DD1181">
        <v>1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"12/16/2021 14:47:54.866"</f>
        <v>12/16/2021 14:47:54.866</v>
      </c>
      <c r="C1182" t="str">
        <f t="shared" si="55"/>
        <v>FFDFD3C0</v>
      </c>
      <c r="D1182" t="s">
        <v>133</v>
      </c>
      <c r="E1182">
        <v>44</v>
      </c>
      <c r="H1182">
        <v>131</v>
      </c>
      <c r="I1182" t="s">
        <v>134</v>
      </c>
      <c r="J1182" t="s">
        <v>135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"14:47:54.602"</f>
        <v>14:47:54.602</v>
      </c>
      <c r="T1182" t="str">
        <f>"14:47:53.702"</f>
        <v>14:47:53.702</v>
      </c>
      <c r="U1182" t="str">
        <f t="shared" si="54"/>
        <v>A0F928</v>
      </c>
      <c r="V1182">
        <v>0</v>
      </c>
      <c r="W1182">
        <v>0</v>
      </c>
      <c r="X1182">
        <v>2</v>
      </c>
      <c r="Z1182">
        <v>0</v>
      </c>
      <c r="AA1182">
        <v>9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2</v>
      </c>
      <c r="AH1182">
        <v>1</v>
      </c>
      <c r="AI1182" t="s">
        <v>673</v>
      </c>
      <c r="AJ1182">
        <v>35.833368</v>
      </c>
      <c r="AK1182" t="s">
        <v>674</v>
      </c>
      <c r="AL1182">
        <v>-83.963699000000005</v>
      </c>
      <c r="AM1182">
        <v>25</v>
      </c>
      <c r="AN1182">
        <v>1000</v>
      </c>
      <c r="AO1182" t="s">
        <v>118</v>
      </c>
      <c r="AP1182">
        <v>-63</v>
      </c>
      <c r="AQ1182">
        <v>-65</v>
      </c>
      <c r="AR1182">
        <v>-256</v>
      </c>
      <c r="AZ1182">
        <v>300</v>
      </c>
      <c r="BA1182">
        <v>1</v>
      </c>
      <c r="BB1182" t="str">
        <f t="shared" si="56"/>
        <v xml:space="preserve">N162AM  </v>
      </c>
      <c r="BC1182">
        <v>1</v>
      </c>
      <c r="BE1182">
        <v>0</v>
      </c>
      <c r="BF1182">
        <v>0</v>
      </c>
      <c r="BG1182">
        <v>0</v>
      </c>
      <c r="BH1182">
        <v>1250</v>
      </c>
      <c r="BI1182">
        <v>1</v>
      </c>
      <c r="BJ1182">
        <v>1</v>
      </c>
      <c r="BK1182">
        <v>1</v>
      </c>
      <c r="BL1182">
        <v>0</v>
      </c>
      <c r="BO1182">
        <v>0</v>
      </c>
      <c r="BP1182">
        <v>0</v>
      </c>
      <c r="BW1182" t="str">
        <f>"14:47:54.603"</f>
        <v>14:47:54.603</v>
      </c>
      <c r="CJ1182">
        <v>3</v>
      </c>
      <c r="CK1182">
        <v>2</v>
      </c>
      <c r="CL1182">
        <v>0</v>
      </c>
      <c r="CM1182">
        <v>2</v>
      </c>
      <c r="CN1182">
        <v>0</v>
      </c>
      <c r="CO1182">
        <v>2</v>
      </c>
      <c r="CP1182" t="s">
        <v>119</v>
      </c>
      <c r="CQ1182">
        <v>232</v>
      </c>
      <c r="CR1182">
        <v>1</v>
      </c>
      <c r="CW1182">
        <v>15310712</v>
      </c>
      <c r="CY1182">
        <v>1</v>
      </c>
      <c r="CZ1182">
        <v>0</v>
      </c>
      <c r="DA1182">
        <v>1</v>
      </c>
      <c r="DB1182">
        <v>0</v>
      </c>
      <c r="DC1182">
        <v>0</v>
      </c>
      <c r="DD1182">
        <v>1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"12/16/2021 14:47:54.866"</f>
        <v>12/16/2021 14:47:54.866</v>
      </c>
      <c r="C1183" t="str">
        <f t="shared" si="55"/>
        <v>FFDFD3C0</v>
      </c>
      <c r="D1183" t="s">
        <v>124</v>
      </c>
      <c r="E1183">
        <v>5</v>
      </c>
      <c r="F1183">
        <v>1005</v>
      </c>
      <c r="G1183" t="s">
        <v>114</v>
      </c>
      <c r="J1183" t="s">
        <v>125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"14:47:54.602"</f>
        <v>14:47:54.602</v>
      </c>
      <c r="T1183" t="str">
        <f>"14:47:53.702"</f>
        <v>14:47:53.702</v>
      </c>
      <c r="U1183" t="str">
        <f t="shared" si="54"/>
        <v>A0F928</v>
      </c>
      <c r="V1183">
        <v>0</v>
      </c>
      <c r="W1183">
        <v>0</v>
      </c>
      <c r="X1183">
        <v>2</v>
      </c>
      <c r="Z1183">
        <v>0</v>
      </c>
      <c r="AA1183">
        <v>9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2</v>
      </c>
      <c r="AH1183">
        <v>1</v>
      </c>
      <c r="AI1183" t="s">
        <v>673</v>
      </c>
      <c r="AJ1183">
        <v>35.833368</v>
      </c>
      <c r="AK1183" t="s">
        <v>674</v>
      </c>
      <c r="AL1183">
        <v>-83.963699000000005</v>
      </c>
      <c r="AM1183">
        <v>25</v>
      </c>
      <c r="AN1183">
        <v>1000</v>
      </c>
      <c r="AO1183" t="s">
        <v>118</v>
      </c>
      <c r="AP1183">
        <v>-63</v>
      </c>
      <c r="AQ1183">
        <v>-65</v>
      </c>
      <c r="AR1183">
        <v>-256</v>
      </c>
      <c r="AZ1183">
        <v>300</v>
      </c>
      <c r="BA1183">
        <v>1</v>
      </c>
      <c r="BB1183" t="str">
        <f t="shared" si="56"/>
        <v xml:space="preserve">N162AM  </v>
      </c>
      <c r="BC1183">
        <v>1</v>
      </c>
      <c r="BE1183">
        <v>0</v>
      </c>
      <c r="BF1183">
        <v>0</v>
      </c>
      <c r="BG1183">
        <v>0</v>
      </c>
      <c r="BH1183">
        <v>1250</v>
      </c>
      <c r="BI1183">
        <v>1</v>
      </c>
      <c r="BJ1183">
        <v>1</v>
      </c>
      <c r="BK1183">
        <v>1</v>
      </c>
      <c r="BL1183">
        <v>0</v>
      </c>
      <c r="BO1183">
        <v>0</v>
      </c>
      <c r="BP1183">
        <v>0</v>
      </c>
      <c r="BW1183" t="str">
        <f>"14:47:54.603"</f>
        <v>14:47:54.603</v>
      </c>
      <c r="CJ1183">
        <v>3</v>
      </c>
      <c r="CK1183">
        <v>2</v>
      </c>
      <c r="CL1183">
        <v>0</v>
      </c>
      <c r="CM1183">
        <v>2</v>
      </c>
      <c r="CN1183">
        <v>0</v>
      </c>
      <c r="CO1183">
        <v>2</v>
      </c>
      <c r="CP1183" t="s">
        <v>119</v>
      </c>
      <c r="CQ1183">
        <v>232</v>
      </c>
      <c r="CR1183">
        <v>1</v>
      </c>
      <c r="CW1183">
        <v>15310712</v>
      </c>
      <c r="CY1183">
        <v>1</v>
      </c>
      <c r="CZ1183">
        <v>0</v>
      </c>
      <c r="DA1183">
        <v>1</v>
      </c>
      <c r="DB1183">
        <v>0</v>
      </c>
      <c r="DC1183">
        <v>0</v>
      </c>
      <c r="DD1183">
        <v>1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"12/16/2021 14:47:54.866"</f>
        <v>12/16/2021 14:47:54.866</v>
      </c>
      <c r="C1184" t="str">
        <f t="shared" si="55"/>
        <v>FFDFD3C0</v>
      </c>
      <c r="D1184" t="s">
        <v>124</v>
      </c>
      <c r="E1184">
        <v>10</v>
      </c>
      <c r="F1184">
        <v>1010</v>
      </c>
      <c r="G1184" t="s">
        <v>130</v>
      </c>
      <c r="J1184" t="s">
        <v>125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"14:47:54.602"</f>
        <v>14:47:54.602</v>
      </c>
      <c r="T1184" t="str">
        <f>"14:47:53.702"</f>
        <v>14:47:53.702</v>
      </c>
      <c r="U1184" t="str">
        <f t="shared" si="54"/>
        <v>A0F928</v>
      </c>
      <c r="V1184">
        <v>0</v>
      </c>
      <c r="W1184">
        <v>0</v>
      </c>
      <c r="X1184">
        <v>2</v>
      </c>
      <c r="Z1184">
        <v>0</v>
      </c>
      <c r="AA1184">
        <v>9</v>
      </c>
      <c r="AB1184">
        <v>3</v>
      </c>
      <c r="AC1184">
        <v>0</v>
      </c>
      <c r="AD1184">
        <v>10</v>
      </c>
      <c r="AE1184">
        <v>0</v>
      </c>
      <c r="AF1184">
        <v>0</v>
      </c>
      <c r="AG1184">
        <v>2</v>
      </c>
      <c r="AH1184">
        <v>1</v>
      </c>
      <c r="AI1184" t="s">
        <v>673</v>
      </c>
      <c r="AJ1184">
        <v>35.833368</v>
      </c>
      <c r="AK1184" t="s">
        <v>674</v>
      </c>
      <c r="AL1184">
        <v>-83.963699000000005</v>
      </c>
      <c r="AM1184">
        <v>25</v>
      </c>
      <c r="AN1184">
        <v>1000</v>
      </c>
      <c r="AO1184" t="s">
        <v>118</v>
      </c>
      <c r="AP1184">
        <v>-63</v>
      </c>
      <c r="AQ1184">
        <v>-65</v>
      </c>
      <c r="AR1184">
        <v>-256</v>
      </c>
      <c r="AZ1184">
        <v>300</v>
      </c>
      <c r="BA1184">
        <v>1</v>
      </c>
      <c r="BB1184" t="str">
        <f t="shared" si="56"/>
        <v xml:space="preserve">N162AM  </v>
      </c>
      <c r="BC1184">
        <v>1</v>
      </c>
      <c r="BE1184">
        <v>0</v>
      </c>
      <c r="BF1184">
        <v>0</v>
      </c>
      <c r="BG1184">
        <v>0</v>
      </c>
      <c r="BH1184">
        <v>1250</v>
      </c>
      <c r="BI1184">
        <v>1</v>
      </c>
      <c r="BJ1184">
        <v>1</v>
      </c>
      <c r="BK1184">
        <v>1</v>
      </c>
      <c r="BL1184">
        <v>0</v>
      </c>
      <c r="BO1184">
        <v>0</v>
      </c>
      <c r="BP1184">
        <v>0</v>
      </c>
      <c r="BW1184" t="str">
        <f>"14:47:54.603"</f>
        <v>14:47:54.603</v>
      </c>
      <c r="CJ1184">
        <v>2</v>
      </c>
      <c r="CK1184">
        <v>2</v>
      </c>
      <c r="CL1184">
        <v>0</v>
      </c>
      <c r="CM1184">
        <v>2</v>
      </c>
      <c r="CN1184">
        <v>0</v>
      </c>
      <c r="CO1184">
        <v>2</v>
      </c>
      <c r="CP1184" t="s">
        <v>119</v>
      </c>
      <c r="CQ1184">
        <v>232</v>
      </c>
      <c r="CR1184">
        <v>1</v>
      </c>
      <c r="CW1184">
        <v>15310712</v>
      </c>
      <c r="CY1184">
        <v>1</v>
      </c>
      <c r="CZ1184">
        <v>0</v>
      </c>
      <c r="DA1184">
        <v>1</v>
      </c>
      <c r="DB1184">
        <v>0</v>
      </c>
      <c r="DC1184">
        <v>0</v>
      </c>
      <c r="DD1184">
        <v>1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"12/16/2021 14:47:56.344"</f>
        <v>12/16/2021 14:47:56.344</v>
      </c>
      <c r="C1185" t="str">
        <f t="shared" si="55"/>
        <v>FFDFD3C0</v>
      </c>
      <c r="D1185" t="s">
        <v>124</v>
      </c>
      <c r="E1185">
        <v>10</v>
      </c>
      <c r="F1185">
        <v>1010</v>
      </c>
      <c r="G1185" t="s">
        <v>130</v>
      </c>
      <c r="J1185" t="s">
        <v>125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"14:47:56.117"</f>
        <v>14:47:56.117</v>
      </c>
      <c r="T1185" t="str">
        <f>"14:47:55.217"</f>
        <v>14:47:55.217</v>
      </c>
      <c r="U1185" t="str">
        <f t="shared" si="54"/>
        <v>A0F928</v>
      </c>
      <c r="V1185">
        <v>0</v>
      </c>
      <c r="W1185">
        <v>0</v>
      </c>
      <c r="X1185">
        <v>2</v>
      </c>
      <c r="Z1185">
        <v>0</v>
      </c>
      <c r="AA1185">
        <v>9</v>
      </c>
      <c r="AB1185">
        <v>3</v>
      </c>
      <c r="AC1185">
        <v>0</v>
      </c>
      <c r="AD1185">
        <v>10</v>
      </c>
      <c r="AE1185">
        <v>0</v>
      </c>
      <c r="AF1185">
        <v>0</v>
      </c>
      <c r="AG1185">
        <v>2</v>
      </c>
      <c r="AH1185">
        <v>1</v>
      </c>
      <c r="AI1185" t="s">
        <v>675</v>
      </c>
      <c r="AJ1185">
        <v>35.832939000000003</v>
      </c>
      <c r="AK1185" t="s">
        <v>676</v>
      </c>
      <c r="AL1185">
        <v>-83.964236</v>
      </c>
      <c r="AM1185">
        <v>25</v>
      </c>
      <c r="AN1185">
        <v>1000</v>
      </c>
      <c r="AO1185" t="s">
        <v>118</v>
      </c>
      <c r="AP1185">
        <v>-64</v>
      </c>
      <c r="AQ1185">
        <v>-64</v>
      </c>
      <c r="AR1185">
        <v>-320</v>
      </c>
      <c r="AZ1185">
        <v>300</v>
      </c>
      <c r="BA1185">
        <v>1</v>
      </c>
      <c r="BB1185" t="str">
        <f t="shared" si="56"/>
        <v xml:space="preserve">N162AM  </v>
      </c>
      <c r="BC1185">
        <v>1</v>
      </c>
      <c r="BE1185">
        <v>0</v>
      </c>
      <c r="BF1185">
        <v>0</v>
      </c>
      <c r="BG1185">
        <v>0</v>
      </c>
      <c r="BH1185">
        <v>1250</v>
      </c>
      <c r="BI1185">
        <v>1</v>
      </c>
      <c r="BJ1185">
        <v>1</v>
      </c>
      <c r="BK1185">
        <v>1</v>
      </c>
      <c r="BL1185">
        <v>0</v>
      </c>
      <c r="BO1185">
        <v>0</v>
      </c>
      <c r="BP1185">
        <v>0</v>
      </c>
      <c r="BW1185" t="str">
        <f>"14:47:56.124"</f>
        <v>14:47:56.124</v>
      </c>
      <c r="CJ1185">
        <v>2</v>
      </c>
      <c r="CK1185">
        <v>2</v>
      </c>
      <c r="CL1185">
        <v>0</v>
      </c>
      <c r="CM1185">
        <v>2</v>
      </c>
      <c r="CN1185">
        <v>0</v>
      </c>
      <c r="CO1185">
        <v>1</v>
      </c>
      <c r="CP1185" t="s">
        <v>119</v>
      </c>
      <c r="CQ1185">
        <v>232</v>
      </c>
      <c r="CR1185">
        <v>1</v>
      </c>
      <c r="CW1185">
        <v>15313020</v>
      </c>
      <c r="CY1185">
        <v>1</v>
      </c>
      <c r="CZ1185">
        <v>0</v>
      </c>
      <c r="DA1185">
        <v>0</v>
      </c>
      <c r="DB1185">
        <v>0</v>
      </c>
      <c r="DC1185">
        <v>0</v>
      </c>
      <c r="DD1185">
        <v>1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"12/16/2021 14:47:56.344"</f>
        <v>12/16/2021 14:47:56.344</v>
      </c>
      <c r="C1186" t="str">
        <f t="shared" si="55"/>
        <v>FFDFD3C0</v>
      </c>
      <c r="D1186" t="s">
        <v>124</v>
      </c>
      <c r="E1186">
        <v>5</v>
      </c>
      <c r="F1186">
        <v>1005</v>
      </c>
      <c r="G1186" t="s">
        <v>114</v>
      </c>
      <c r="J1186" t="s">
        <v>125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"14:47:56.117"</f>
        <v>14:47:56.117</v>
      </c>
      <c r="T1186" t="str">
        <f>"14:47:55.217"</f>
        <v>14:47:55.217</v>
      </c>
      <c r="U1186" t="str">
        <f t="shared" si="54"/>
        <v>A0F928</v>
      </c>
      <c r="V1186">
        <v>0</v>
      </c>
      <c r="W1186">
        <v>0</v>
      </c>
      <c r="X1186">
        <v>2</v>
      </c>
      <c r="Z1186">
        <v>0</v>
      </c>
      <c r="AA1186">
        <v>9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2</v>
      </c>
      <c r="AH1186">
        <v>1</v>
      </c>
      <c r="AI1186" t="s">
        <v>675</v>
      </c>
      <c r="AJ1186">
        <v>35.832939000000003</v>
      </c>
      <c r="AK1186" t="s">
        <v>676</v>
      </c>
      <c r="AL1186">
        <v>-83.964236</v>
      </c>
      <c r="AM1186">
        <v>25</v>
      </c>
      <c r="AN1186">
        <v>1000</v>
      </c>
      <c r="AO1186" t="s">
        <v>118</v>
      </c>
      <c r="AP1186">
        <v>-64</v>
      </c>
      <c r="AQ1186">
        <v>-64</v>
      </c>
      <c r="AR1186">
        <v>-320</v>
      </c>
      <c r="AZ1186">
        <v>300</v>
      </c>
      <c r="BA1186">
        <v>1</v>
      </c>
      <c r="BB1186" t="str">
        <f t="shared" si="56"/>
        <v xml:space="preserve">N162AM  </v>
      </c>
      <c r="BC1186">
        <v>1</v>
      </c>
      <c r="BE1186">
        <v>0</v>
      </c>
      <c r="BF1186">
        <v>0</v>
      </c>
      <c r="BG1186">
        <v>0</v>
      </c>
      <c r="BH1186">
        <v>1250</v>
      </c>
      <c r="BI1186">
        <v>1</v>
      </c>
      <c r="BJ1186">
        <v>1</v>
      </c>
      <c r="BK1186">
        <v>1</v>
      </c>
      <c r="BL1186">
        <v>0</v>
      </c>
      <c r="BO1186">
        <v>0</v>
      </c>
      <c r="BP1186">
        <v>0</v>
      </c>
      <c r="BW1186" t="str">
        <f>"14:47:56.124"</f>
        <v>14:47:56.124</v>
      </c>
      <c r="CJ1186">
        <v>3</v>
      </c>
      <c r="CK1186">
        <v>2</v>
      </c>
      <c r="CL1186">
        <v>0</v>
      </c>
      <c r="CM1186">
        <v>2</v>
      </c>
      <c r="CN1186">
        <v>0</v>
      </c>
      <c r="CO1186">
        <v>1</v>
      </c>
      <c r="CP1186" t="s">
        <v>119</v>
      </c>
      <c r="CQ1186">
        <v>232</v>
      </c>
      <c r="CR1186">
        <v>1</v>
      </c>
      <c r="CW1186">
        <v>15313020</v>
      </c>
      <c r="CY1186">
        <v>1</v>
      </c>
      <c r="CZ1186">
        <v>0</v>
      </c>
      <c r="DA1186">
        <v>1</v>
      </c>
      <c r="DB1186">
        <v>0</v>
      </c>
      <c r="DC1186">
        <v>0</v>
      </c>
      <c r="DD1186">
        <v>1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"12/16/2021 14:47:56.344"</f>
        <v>12/16/2021 14:47:56.344</v>
      </c>
      <c r="C1187" t="str">
        <f t="shared" si="55"/>
        <v>FFDFD3C0</v>
      </c>
      <c r="D1187" t="s">
        <v>133</v>
      </c>
      <c r="E1187">
        <v>44</v>
      </c>
      <c r="H1187">
        <v>131</v>
      </c>
      <c r="I1187" t="s">
        <v>134</v>
      </c>
      <c r="J1187" t="s">
        <v>135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"14:47:56.117"</f>
        <v>14:47:56.117</v>
      </c>
      <c r="T1187" t="str">
        <f>"14:47:55.217"</f>
        <v>14:47:55.217</v>
      </c>
      <c r="U1187" t="str">
        <f t="shared" si="54"/>
        <v>A0F928</v>
      </c>
      <c r="V1187">
        <v>0</v>
      </c>
      <c r="W1187">
        <v>0</v>
      </c>
      <c r="X1187">
        <v>2</v>
      </c>
      <c r="Z1187">
        <v>0</v>
      </c>
      <c r="AA1187">
        <v>9</v>
      </c>
      <c r="AB1187">
        <v>3</v>
      </c>
      <c r="AC1187">
        <v>0</v>
      </c>
      <c r="AD1187">
        <v>10</v>
      </c>
      <c r="AE1187">
        <v>0</v>
      </c>
      <c r="AF1187">
        <v>3</v>
      </c>
      <c r="AG1187">
        <v>2</v>
      </c>
      <c r="AH1187">
        <v>1</v>
      </c>
      <c r="AI1187" t="s">
        <v>675</v>
      </c>
      <c r="AJ1187">
        <v>35.832939000000003</v>
      </c>
      <c r="AK1187" t="s">
        <v>676</v>
      </c>
      <c r="AL1187">
        <v>-83.964236</v>
      </c>
      <c r="AM1187">
        <v>25</v>
      </c>
      <c r="AN1187">
        <v>1000</v>
      </c>
      <c r="AO1187" t="s">
        <v>118</v>
      </c>
      <c r="AP1187">
        <v>-64</v>
      </c>
      <c r="AQ1187">
        <v>-64</v>
      </c>
      <c r="AR1187">
        <v>-320</v>
      </c>
      <c r="AZ1187">
        <v>300</v>
      </c>
      <c r="BA1187">
        <v>1</v>
      </c>
      <c r="BB1187" t="str">
        <f t="shared" si="56"/>
        <v xml:space="preserve">N162AM  </v>
      </c>
      <c r="BC1187">
        <v>1</v>
      </c>
      <c r="BE1187">
        <v>0</v>
      </c>
      <c r="BF1187">
        <v>0</v>
      </c>
      <c r="BG1187">
        <v>0</v>
      </c>
      <c r="BH1187">
        <v>1250</v>
      </c>
      <c r="BI1187">
        <v>1</v>
      </c>
      <c r="BJ1187">
        <v>1</v>
      </c>
      <c r="BK1187">
        <v>1</v>
      </c>
      <c r="BL1187">
        <v>0</v>
      </c>
      <c r="BO1187">
        <v>0</v>
      </c>
      <c r="BP1187">
        <v>0</v>
      </c>
      <c r="BW1187" t="str">
        <f>"14:47:56.124"</f>
        <v>14:47:56.124</v>
      </c>
      <c r="CJ1187">
        <v>3</v>
      </c>
      <c r="CK1187">
        <v>2</v>
      </c>
      <c r="CL1187">
        <v>0</v>
      </c>
      <c r="CM1187">
        <v>2</v>
      </c>
      <c r="CN1187">
        <v>0</v>
      </c>
      <c r="CO1187">
        <v>1</v>
      </c>
      <c r="CP1187" t="s">
        <v>119</v>
      </c>
      <c r="CQ1187">
        <v>232</v>
      </c>
      <c r="CR1187">
        <v>1</v>
      </c>
      <c r="CW1187">
        <v>15313020</v>
      </c>
      <c r="CY1187">
        <v>1</v>
      </c>
      <c r="CZ1187">
        <v>0</v>
      </c>
      <c r="DA1187">
        <v>1</v>
      </c>
      <c r="DB1187">
        <v>0</v>
      </c>
      <c r="DC1187">
        <v>0</v>
      </c>
      <c r="DD1187">
        <v>1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"12/16/2021 14:47:56.344"</f>
        <v>12/16/2021 14:47:56.344</v>
      </c>
      <c r="C1188" t="str">
        <f t="shared" si="55"/>
        <v>FFDFD3C0</v>
      </c>
      <c r="D1188" t="s">
        <v>113</v>
      </c>
      <c r="E1188">
        <v>8</v>
      </c>
      <c r="H1188">
        <v>176</v>
      </c>
      <c r="I1188" t="s">
        <v>114</v>
      </c>
      <c r="J1188" t="s">
        <v>115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"14:47:56.117"</f>
        <v>14:47:56.117</v>
      </c>
      <c r="T1188" t="str">
        <f>"14:47:55.217"</f>
        <v>14:47:55.217</v>
      </c>
      <c r="U1188" t="str">
        <f t="shared" si="54"/>
        <v>A0F928</v>
      </c>
      <c r="V1188">
        <v>0</v>
      </c>
      <c r="W1188">
        <v>0</v>
      </c>
      <c r="X1188">
        <v>2</v>
      </c>
      <c r="Z1188">
        <v>0</v>
      </c>
      <c r="AA1188">
        <v>9</v>
      </c>
      <c r="AB1188">
        <v>3</v>
      </c>
      <c r="AC1188">
        <v>0</v>
      </c>
      <c r="AD1188">
        <v>10</v>
      </c>
      <c r="AE1188">
        <v>0</v>
      </c>
      <c r="AF1188">
        <v>3</v>
      </c>
      <c r="AG1188">
        <v>2</v>
      </c>
      <c r="AH1188">
        <v>1</v>
      </c>
      <c r="AI1188" t="s">
        <v>675</v>
      </c>
      <c r="AJ1188">
        <v>35.832939000000003</v>
      </c>
      <c r="AK1188" t="s">
        <v>676</v>
      </c>
      <c r="AL1188">
        <v>-83.964236</v>
      </c>
      <c r="AM1188">
        <v>25</v>
      </c>
      <c r="AN1188">
        <v>1000</v>
      </c>
      <c r="AO1188" t="s">
        <v>118</v>
      </c>
      <c r="AP1188">
        <v>-64</v>
      </c>
      <c r="AQ1188">
        <v>-64</v>
      </c>
      <c r="AR1188">
        <v>-320</v>
      </c>
      <c r="AZ1188">
        <v>300</v>
      </c>
      <c r="BA1188">
        <v>1</v>
      </c>
      <c r="BB1188" t="str">
        <f t="shared" si="56"/>
        <v xml:space="preserve">N162AM  </v>
      </c>
      <c r="BC1188">
        <v>1</v>
      </c>
      <c r="BE1188">
        <v>0</v>
      </c>
      <c r="BF1188">
        <v>0</v>
      </c>
      <c r="BG1188">
        <v>0</v>
      </c>
      <c r="BH1188">
        <v>1250</v>
      </c>
      <c r="BI1188">
        <v>1</v>
      </c>
      <c r="BJ1188">
        <v>1</v>
      </c>
      <c r="BK1188">
        <v>1</v>
      </c>
      <c r="BL1188">
        <v>0</v>
      </c>
      <c r="BO1188">
        <v>0</v>
      </c>
      <c r="BP1188">
        <v>0</v>
      </c>
      <c r="BW1188" t="str">
        <f>"14:47:56.124"</f>
        <v>14:47:56.124</v>
      </c>
      <c r="CJ1188">
        <v>3</v>
      </c>
      <c r="CK1188">
        <v>2</v>
      </c>
      <c r="CL1188">
        <v>0</v>
      </c>
      <c r="CM1188">
        <v>2</v>
      </c>
      <c r="CN1188">
        <v>0</v>
      </c>
      <c r="CO1188">
        <v>1</v>
      </c>
      <c r="CP1188" t="s">
        <v>119</v>
      </c>
      <c r="CQ1188">
        <v>232</v>
      </c>
      <c r="CR1188">
        <v>1</v>
      </c>
      <c r="CW1188">
        <v>15313020</v>
      </c>
      <c r="CY1188">
        <v>1</v>
      </c>
      <c r="CZ1188">
        <v>0</v>
      </c>
      <c r="DA1188">
        <v>1</v>
      </c>
      <c r="DB1188">
        <v>0</v>
      </c>
      <c r="DC1188">
        <v>0</v>
      </c>
      <c r="DD1188">
        <v>1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"12/16/2021 14:47:57.329"</f>
        <v>12/16/2021 14:47:57.329</v>
      </c>
      <c r="C1189" t="str">
        <f t="shared" si="55"/>
        <v>FFDFD3C0</v>
      </c>
      <c r="D1189" t="s">
        <v>124</v>
      </c>
      <c r="E1189">
        <v>5</v>
      </c>
      <c r="F1189">
        <v>1005</v>
      </c>
      <c r="G1189" t="s">
        <v>114</v>
      </c>
      <c r="J1189" t="s">
        <v>125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"14:47:57.125"</f>
        <v>14:47:57.125</v>
      </c>
      <c r="T1189" t="str">
        <f>"14:47:56.725"</f>
        <v>14:47:56.725</v>
      </c>
      <c r="U1189" t="str">
        <f t="shared" si="54"/>
        <v>A0F928</v>
      </c>
      <c r="V1189">
        <v>0</v>
      </c>
      <c r="W1189">
        <v>0</v>
      </c>
      <c r="X1189">
        <v>2</v>
      </c>
      <c r="Z1189">
        <v>0</v>
      </c>
      <c r="AA1189">
        <v>9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2</v>
      </c>
      <c r="AH1189">
        <v>1</v>
      </c>
      <c r="AI1189" t="s">
        <v>677</v>
      </c>
      <c r="AJ1189">
        <v>35.832616999999999</v>
      </c>
      <c r="AK1189" t="s">
        <v>678</v>
      </c>
      <c r="AL1189">
        <v>-83.964601000000002</v>
      </c>
      <c r="AM1189">
        <v>25</v>
      </c>
      <c r="AN1189">
        <v>975</v>
      </c>
      <c r="AO1189" t="s">
        <v>118</v>
      </c>
      <c r="AP1189">
        <v>-64</v>
      </c>
      <c r="AQ1189">
        <v>-64</v>
      </c>
      <c r="AR1189">
        <v>-128</v>
      </c>
      <c r="AZ1189">
        <v>300</v>
      </c>
      <c r="BA1189">
        <v>1</v>
      </c>
      <c r="BB1189" t="str">
        <f t="shared" si="56"/>
        <v xml:space="preserve">N162AM  </v>
      </c>
      <c r="BC1189">
        <v>1</v>
      </c>
      <c r="BE1189">
        <v>0</v>
      </c>
      <c r="BF1189">
        <v>0</v>
      </c>
      <c r="BG1189">
        <v>0</v>
      </c>
      <c r="BH1189">
        <v>1250</v>
      </c>
      <c r="BI1189">
        <v>1</v>
      </c>
      <c r="BJ1189">
        <v>1</v>
      </c>
      <c r="BK1189">
        <v>1</v>
      </c>
      <c r="BL1189">
        <v>0</v>
      </c>
      <c r="BO1189">
        <v>0</v>
      </c>
      <c r="BP1189">
        <v>0</v>
      </c>
      <c r="BW1189" t="str">
        <f>"14:47:57.131"</f>
        <v>14:47:57.131</v>
      </c>
      <c r="CJ1189">
        <v>3</v>
      </c>
      <c r="CK1189">
        <v>2</v>
      </c>
      <c r="CL1189">
        <v>0</v>
      </c>
      <c r="CM1189">
        <v>2</v>
      </c>
      <c r="CN1189">
        <v>0</v>
      </c>
      <c r="CO1189">
        <v>2</v>
      </c>
      <c r="CP1189" t="s">
        <v>119</v>
      </c>
      <c r="CQ1189">
        <v>232</v>
      </c>
      <c r="CR1189">
        <v>1</v>
      </c>
      <c r="CW1189">
        <v>15314614</v>
      </c>
      <c r="CY1189">
        <v>1</v>
      </c>
      <c r="CZ1189">
        <v>0</v>
      </c>
      <c r="DA1189">
        <v>0</v>
      </c>
      <c r="DB1189">
        <v>0</v>
      </c>
      <c r="DC1189">
        <v>0</v>
      </c>
      <c r="DD1189">
        <v>1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"12/16/2021 14:47:57.391"</f>
        <v>12/16/2021 14:47:57.391</v>
      </c>
      <c r="C1190" t="str">
        <f t="shared" si="55"/>
        <v>FFDFD3C0</v>
      </c>
      <c r="D1190" t="s">
        <v>133</v>
      </c>
      <c r="E1190">
        <v>44</v>
      </c>
      <c r="H1190">
        <v>131</v>
      </c>
      <c r="I1190" t="s">
        <v>134</v>
      </c>
      <c r="J1190" t="s">
        <v>135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"14:47:57.125"</f>
        <v>14:47:57.125</v>
      </c>
      <c r="T1190" t="str">
        <f>"14:47:56.725"</f>
        <v>14:47:56.725</v>
      </c>
      <c r="U1190" t="str">
        <f t="shared" si="54"/>
        <v>A0F928</v>
      </c>
      <c r="V1190">
        <v>0</v>
      </c>
      <c r="W1190">
        <v>0</v>
      </c>
      <c r="X1190">
        <v>2</v>
      </c>
      <c r="Z1190">
        <v>0</v>
      </c>
      <c r="AA1190">
        <v>9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2</v>
      </c>
      <c r="AH1190">
        <v>1</v>
      </c>
      <c r="AI1190" t="s">
        <v>677</v>
      </c>
      <c r="AJ1190">
        <v>35.832616999999999</v>
      </c>
      <c r="AK1190" t="s">
        <v>678</v>
      </c>
      <c r="AL1190">
        <v>-83.964601000000002</v>
      </c>
      <c r="AM1190">
        <v>25</v>
      </c>
      <c r="AN1190">
        <v>975</v>
      </c>
      <c r="AO1190" t="s">
        <v>118</v>
      </c>
      <c r="AP1190">
        <v>-64</v>
      </c>
      <c r="AQ1190">
        <v>-64</v>
      </c>
      <c r="AR1190">
        <v>-128</v>
      </c>
      <c r="AZ1190">
        <v>300</v>
      </c>
      <c r="BA1190">
        <v>1</v>
      </c>
      <c r="BB1190" t="str">
        <f t="shared" si="56"/>
        <v xml:space="preserve">N162AM  </v>
      </c>
      <c r="BC1190">
        <v>1</v>
      </c>
      <c r="BE1190">
        <v>0</v>
      </c>
      <c r="BF1190">
        <v>0</v>
      </c>
      <c r="BG1190">
        <v>0</v>
      </c>
      <c r="BH1190">
        <v>1250</v>
      </c>
      <c r="BI1190">
        <v>1</v>
      </c>
      <c r="BJ1190">
        <v>1</v>
      </c>
      <c r="BK1190">
        <v>1</v>
      </c>
      <c r="BL1190">
        <v>0</v>
      </c>
      <c r="BO1190">
        <v>0</v>
      </c>
      <c r="BP1190">
        <v>0</v>
      </c>
      <c r="BW1190" t="str">
        <f>"14:47:57.131"</f>
        <v>14:47:57.131</v>
      </c>
      <c r="CJ1190">
        <v>3</v>
      </c>
      <c r="CK1190">
        <v>2</v>
      </c>
      <c r="CL1190">
        <v>0</v>
      </c>
      <c r="CM1190">
        <v>2</v>
      </c>
      <c r="CN1190">
        <v>0</v>
      </c>
      <c r="CO1190">
        <v>2</v>
      </c>
      <c r="CP1190" t="s">
        <v>119</v>
      </c>
      <c r="CQ1190">
        <v>232</v>
      </c>
      <c r="CR1190">
        <v>1</v>
      </c>
      <c r="CW1190">
        <v>15314614</v>
      </c>
      <c r="CY1190">
        <v>1</v>
      </c>
      <c r="CZ1190">
        <v>0</v>
      </c>
      <c r="DA1190">
        <v>1</v>
      </c>
      <c r="DB1190">
        <v>0</v>
      </c>
      <c r="DC1190">
        <v>0</v>
      </c>
      <c r="DD1190">
        <v>1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"12/16/2021 14:47:57.391"</f>
        <v>12/16/2021 14:47:57.391</v>
      </c>
      <c r="C1191" t="str">
        <f t="shared" si="55"/>
        <v>FFDFD3C0</v>
      </c>
      <c r="D1191" t="s">
        <v>113</v>
      </c>
      <c r="E1191">
        <v>8</v>
      </c>
      <c r="H1191">
        <v>176</v>
      </c>
      <c r="I1191" t="s">
        <v>114</v>
      </c>
      <c r="J1191" t="s">
        <v>115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"14:47:57.125"</f>
        <v>14:47:57.125</v>
      </c>
      <c r="T1191" t="str">
        <f>"14:47:56.725"</f>
        <v>14:47:56.725</v>
      </c>
      <c r="U1191" t="str">
        <f t="shared" si="54"/>
        <v>A0F928</v>
      </c>
      <c r="V1191">
        <v>0</v>
      </c>
      <c r="W1191">
        <v>0</v>
      </c>
      <c r="X1191">
        <v>2</v>
      </c>
      <c r="Z1191">
        <v>0</v>
      </c>
      <c r="AA1191">
        <v>9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2</v>
      </c>
      <c r="AH1191">
        <v>1</v>
      </c>
      <c r="AI1191" t="s">
        <v>677</v>
      </c>
      <c r="AJ1191">
        <v>35.832616999999999</v>
      </c>
      <c r="AK1191" t="s">
        <v>678</v>
      </c>
      <c r="AL1191">
        <v>-83.964601000000002</v>
      </c>
      <c r="AM1191">
        <v>25</v>
      </c>
      <c r="AN1191">
        <v>975</v>
      </c>
      <c r="AO1191" t="s">
        <v>118</v>
      </c>
      <c r="AP1191">
        <v>-64</v>
      </c>
      <c r="AQ1191">
        <v>-64</v>
      </c>
      <c r="AR1191">
        <v>-128</v>
      </c>
      <c r="AZ1191">
        <v>300</v>
      </c>
      <c r="BA1191">
        <v>1</v>
      </c>
      <c r="BB1191" t="str">
        <f t="shared" si="56"/>
        <v xml:space="preserve">N162AM  </v>
      </c>
      <c r="BC1191">
        <v>1</v>
      </c>
      <c r="BE1191">
        <v>0</v>
      </c>
      <c r="BF1191">
        <v>0</v>
      </c>
      <c r="BG1191">
        <v>0</v>
      </c>
      <c r="BH1191">
        <v>1250</v>
      </c>
      <c r="BI1191">
        <v>1</v>
      </c>
      <c r="BJ1191">
        <v>1</v>
      </c>
      <c r="BK1191">
        <v>1</v>
      </c>
      <c r="BL1191">
        <v>0</v>
      </c>
      <c r="BO1191">
        <v>0</v>
      </c>
      <c r="BP1191">
        <v>0</v>
      </c>
      <c r="BW1191" t="str">
        <f>"14:47:57.131"</f>
        <v>14:47:57.131</v>
      </c>
      <c r="CJ1191">
        <v>3</v>
      </c>
      <c r="CK1191">
        <v>2</v>
      </c>
      <c r="CL1191">
        <v>0</v>
      </c>
      <c r="CM1191">
        <v>2</v>
      </c>
      <c r="CN1191">
        <v>0</v>
      </c>
      <c r="CO1191">
        <v>2</v>
      </c>
      <c r="CP1191" t="s">
        <v>119</v>
      </c>
      <c r="CQ1191">
        <v>232</v>
      </c>
      <c r="CR1191">
        <v>1</v>
      </c>
      <c r="CW1191">
        <v>15314614</v>
      </c>
      <c r="CY1191">
        <v>1</v>
      </c>
      <c r="CZ1191">
        <v>0</v>
      </c>
      <c r="DA1191">
        <v>1</v>
      </c>
      <c r="DB1191">
        <v>0</v>
      </c>
      <c r="DC1191">
        <v>0</v>
      </c>
      <c r="DD1191">
        <v>1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"12/16/2021 14:47:57.391"</f>
        <v>12/16/2021 14:47:57.391</v>
      </c>
      <c r="C1192" t="str">
        <f t="shared" si="55"/>
        <v>FFDFD3C0</v>
      </c>
      <c r="D1192" t="s">
        <v>124</v>
      </c>
      <c r="E1192">
        <v>10</v>
      </c>
      <c r="F1192">
        <v>1010</v>
      </c>
      <c r="G1192" t="s">
        <v>130</v>
      </c>
      <c r="J1192" t="s">
        <v>125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"14:47:57.125"</f>
        <v>14:47:57.125</v>
      </c>
      <c r="T1192" t="str">
        <f>"14:47:56.725"</f>
        <v>14:47:56.725</v>
      </c>
      <c r="U1192" t="str">
        <f t="shared" si="54"/>
        <v>A0F928</v>
      </c>
      <c r="V1192">
        <v>0</v>
      </c>
      <c r="W1192">
        <v>0</v>
      </c>
      <c r="X1192">
        <v>2</v>
      </c>
      <c r="Z1192">
        <v>0</v>
      </c>
      <c r="AA1192">
        <v>9</v>
      </c>
      <c r="AB1192">
        <v>3</v>
      </c>
      <c r="AC1192">
        <v>0</v>
      </c>
      <c r="AD1192">
        <v>10</v>
      </c>
      <c r="AE1192">
        <v>0</v>
      </c>
      <c r="AF1192">
        <v>0</v>
      </c>
      <c r="AG1192">
        <v>2</v>
      </c>
      <c r="AH1192">
        <v>1</v>
      </c>
      <c r="AI1192" t="s">
        <v>677</v>
      </c>
      <c r="AJ1192">
        <v>35.832616999999999</v>
      </c>
      <c r="AK1192" t="s">
        <v>678</v>
      </c>
      <c r="AL1192">
        <v>-83.964601000000002</v>
      </c>
      <c r="AM1192">
        <v>25</v>
      </c>
      <c r="AN1192">
        <v>975</v>
      </c>
      <c r="AO1192" t="s">
        <v>118</v>
      </c>
      <c r="AP1192">
        <v>-64</v>
      </c>
      <c r="AQ1192">
        <v>-64</v>
      </c>
      <c r="AR1192">
        <v>-128</v>
      </c>
      <c r="AZ1192">
        <v>300</v>
      </c>
      <c r="BA1192">
        <v>1</v>
      </c>
      <c r="BB1192" t="str">
        <f t="shared" si="56"/>
        <v xml:space="preserve">N162AM  </v>
      </c>
      <c r="BC1192">
        <v>1</v>
      </c>
      <c r="BE1192">
        <v>0</v>
      </c>
      <c r="BF1192">
        <v>0</v>
      </c>
      <c r="BG1192">
        <v>0</v>
      </c>
      <c r="BH1192">
        <v>1250</v>
      </c>
      <c r="BI1192">
        <v>1</v>
      </c>
      <c r="BJ1192">
        <v>1</v>
      </c>
      <c r="BK1192">
        <v>1</v>
      </c>
      <c r="BL1192">
        <v>0</v>
      </c>
      <c r="BO1192">
        <v>0</v>
      </c>
      <c r="BP1192">
        <v>0</v>
      </c>
      <c r="BW1192" t="str">
        <f>"14:47:57.131"</f>
        <v>14:47:57.131</v>
      </c>
      <c r="CJ1192">
        <v>2</v>
      </c>
      <c r="CK1192">
        <v>2</v>
      </c>
      <c r="CL1192">
        <v>0</v>
      </c>
      <c r="CM1192">
        <v>2</v>
      </c>
      <c r="CN1192">
        <v>0</v>
      </c>
      <c r="CO1192">
        <v>2</v>
      </c>
      <c r="CP1192" t="s">
        <v>119</v>
      </c>
      <c r="CQ1192">
        <v>232</v>
      </c>
      <c r="CR1192">
        <v>1</v>
      </c>
      <c r="CW1192">
        <v>15314614</v>
      </c>
      <c r="CY1192">
        <v>1</v>
      </c>
      <c r="CZ1192">
        <v>0</v>
      </c>
      <c r="DA1192">
        <v>1</v>
      </c>
      <c r="DB1192">
        <v>0</v>
      </c>
      <c r="DC1192">
        <v>0</v>
      </c>
      <c r="DD1192">
        <v>1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"12/16/2021 14:47:59.408"</f>
        <v>12/16/2021 14:47:59.408</v>
      </c>
      <c r="C1193" t="str">
        <f t="shared" si="55"/>
        <v>FFDFD3C0</v>
      </c>
      <c r="D1193" t="s">
        <v>133</v>
      </c>
      <c r="E1193">
        <v>44</v>
      </c>
      <c r="H1193">
        <v>131</v>
      </c>
      <c r="I1193" t="s">
        <v>134</v>
      </c>
      <c r="J1193" t="s">
        <v>135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"14:47:59.180"</f>
        <v>14:47:59.180</v>
      </c>
      <c r="T1193" t="str">
        <f>"14:47:58.680"</f>
        <v>14:47:58.680</v>
      </c>
      <c r="U1193" t="str">
        <f t="shared" si="54"/>
        <v>A0F928</v>
      </c>
      <c r="V1193">
        <v>0</v>
      </c>
      <c r="W1193">
        <v>0</v>
      </c>
      <c r="X1193">
        <v>2</v>
      </c>
      <c r="Z1193">
        <v>0</v>
      </c>
      <c r="AA1193">
        <v>9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2</v>
      </c>
      <c r="AH1193">
        <v>1</v>
      </c>
      <c r="AI1193" t="s">
        <v>679</v>
      </c>
      <c r="AJ1193">
        <v>35.831994999999999</v>
      </c>
      <c r="AK1193" t="s">
        <v>680</v>
      </c>
      <c r="AL1193">
        <v>-83.965351999999996</v>
      </c>
      <c r="AM1193">
        <v>25</v>
      </c>
      <c r="AN1193">
        <v>975</v>
      </c>
      <c r="AO1193" t="s">
        <v>118</v>
      </c>
      <c r="AP1193">
        <v>-63</v>
      </c>
      <c r="AQ1193">
        <v>-64</v>
      </c>
      <c r="AR1193">
        <v>-128</v>
      </c>
      <c r="AZ1193">
        <v>300</v>
      </c>
      <c r="BA1193">
        <v>1</v>
      </c>
      <c r="BB1193" t="str">
        <f t="shared" si="56"/>
        <v xml:space="preserve">N162AM  </v>
      </c>
      <c r="BC1193">
        <v>1</v>
      </c>
      <c r="BE1193">
        <v>0</v>
      </c>
      <c r="BF1193">
        <v>0</v>
      </c>
      <c r="BG1193">
        <v>0</v>
      </c>
      <c r="BH1193">
        <v>1225</v>
      </c>
      <c r="BI1193">
        <v>1</v>
      </c>
      <c r="BJ1193">
        <v>1</v>
      </c>
      <c r="BK1193">
        <v>1</v>
      </c>
      <c r="BL1193">
        <v>0</v>
      </c>
      <c r="BO1193">
        <v>0</v>
      </c>
      <c r="BP1193">
        <v>0</v>
      </c>
      <c r="BW1193" t="str">
        <f>"14:47:59.187"</f>
        <v>14:47:59.187</v>
      </c>
      <c r="CJ1193">
        <v>3</v>
      </c>
      <c r="CK1193">
        <v>2</v>
      </c>
      <c r="CL1193">
        <v>0</v>
      </c>
      <c r="CM1193">
        <v>2</v>
      </c>
      <c r="CN1193">
        <v>0</v>
      </c>
      <c r="CO1193">
        <v>2</v>
      </c>
      <c r="CP1193" t="s">
        <v>119</v>
      </c>
      <c r="CQ1193">
        <v>232</v>
      </c>
      <c r="CR1193">
        <v>1</v>
      </c>
      <c r="CW1193">
        <v>15317852</v>
      </c>
      <c r="CY1193">
        <v>1</v>
      </c>
      <c r="CZ1193">
        <v>0</v>
      </c>
      <c r="DA1193">
        <v>0</v>
      </c>
      <c r="DB1193">
        <v>0</v>
      </c>
      <c r="DC1193">
        <v>0</v>
      </c>
      <c r="DD1193">
        <v>1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"12/16/2021 14:47:59.408"</f>
        <v>12/16/2021 14:47:59.408</v>
      </c>
      <c r="C1194" t="str">
        <f t="shared" si="55"/>
        <v>FFDFD3C0</v>
      </c>
      <c r="D1194" t="s">
        <v>113</v>
      </c>
      <c r="E1194">
        <v>8</v>
      </c>
      <c r="H1194">
        <v>176</v>
      </c>
      <c r="I1194" t="s">
        <v>114</v>
      </c>
      <c r="J1194" t="s">
        <v>115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"14:47:59.180"</f>
        <v>14:47:59.180</v>
      </c>
      <c r="T1194" t="str">
        <f>"14:47:58.680"</f>
        <v>14:47:58.680</v>
      </c>
      <c r="U1194" t="str">
        <f t="shared" si="54"/>
        <v>A0F928</v>
      </c>
      <c r="V1194">
        <v>0</v>
      </c>
      <c r="W1194">
        <v>0</v>
      </c>
      <c r="X1194">
        <v>2</v>
      </c>
      <c r="Z1194">
        <v>0</v>
      </c>
      <c r="AA1194">
        <v>9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2</v>
      </c>
      <c r="AH1194">
        <v>1</v>
      </c>
      <c r="AI1194" t="s">
        <v>679</v>
      </c>
      <c r="AJ1194">
        <v>35.831994999999999</v>
      </c>
      <c r="AK1194" t="s">
        <v>680</v>
      </c>
      <c r="AL1194">
        <v>-83.965351999999996</v>
      </c>
      <c r="AM1194">
        <v>25</v>
      </c>
      <c r="AN1194">
        <v>975</v>
      </c>
      <c r="AO1194" t="s">
        <v>118</v>
      </c>
      <c r="AP1194">
        <v>-63</v>
      </c>
      <c r="AQ1194">
        <v>-64</v>
      </c>
      <c r="AR1194">
        <v>-128</v>
      </c>
      <c r="AZ1194">
        <v>300</v>
      </c>
      <c r="BA1194">
        <v>1</v>
      </c>
      <c r="BB1194" t="str">
        <f t="shared" si="56"/>
        <v xml:space="preserve">N162AM  </v>
      </c>
      <c r="BC1194">
        <v>1</v>
      </c>
      <c r="BE1194">
        <v>0</v>
      </c>
      <c r="BF1194">
        <v>0</v>
      </c>
      <c r="BG1194">
        <v>0</v>
      </c>
      <c r="BH1194">
        <v>1225</v>
      </c>
      <c r="BI1194">
        <v>1</v>
      </c>
      <c r="BJ1194">
        <v>1</v>
      </c>
      <c r="BK1194">
        <v>1</v>
      </c>
      <c r="BL1194">
        <v>0</v>
      </c>
      <c r="BO1194">
        <v>0</v>
      </c>
      <c r="BP1194">
        <v>0</v>
      </c>
      <c r="BW1194" t="str">
        <f>"14:47:59.187"</f>
        <v>14:47:59.187</v>
      </c>
      <c r="CJ1194">
        <v>3</v>
      </c>
      <c r="CK1194">
        <v>2</v>
      </c>
      <c r="CL1194">
        <v>0</v>
      </c>
      <c r="CM1194">
        <v>2</v>
      </c>
      <c r="CN1194">
        <v>0</v>
      </c>
      <c r="CO1194">
        <v>2</v>
      </c>
      <c r="CP1194" t="s">
        <v>119</v>
      </c>
      <c r="CQ1194">
        <v>232</v>
      </c>
      <c r="CR1194">
        <v>1</v>
      </c>
      <c r="CW1194">
        <v>15317852</v>
      </c>
      <c r="CY1194">
        <v>1</v>
      </c>
      <c r="CZ1194">
        <v>0</v>
      </c>
      <c r="DA1194">
        <v>1</v>
      </c>
      <c r="DB1194">
        <v>0</v>
      </c>
      <c r="DC1194">
        <v>0</v>
      </c>
      <c r="DD1194">
        <v>1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"12/16/2021 14:47:59.424"</f>
        <v>12/16/2021 14:47:59.424</v>
      </c>
      <c r="C1195" t="str">
        <f t="shared" si="55"/>
        <v>FFDFD3C0</v>
      </c>
      <c r="D1195" t="s">
        <v>124</v>
      </c>
      <c r="E1195">
        <v>10</v>
      </c>
      <c r="F1195">
        <v>1010</v>
      </c>
      <c r="G1195" t="s">
        <v>130</v>
      </c>
      <c r="J1195" t="s">
        <v>125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"14:47:59.180"</f>
        <v>14:47:59.180</v>
      </c>
      <c r="T1195" t="str">
        <f>"14:47:58.680"</f>
        <v>14:47:58.680</v>
      </c>
      <c r="U1195" t="str">
        <f t="shared" si="54"/>
        <v>A0F928</v>
      </c>
      <c r="V1195">
        <v>0</v>
      </c>
      <c r="W1195">
        <v>0</v>
      </c>
      <c r="X1195">
        <v>2</v>
      </c>
      <c r="Z1195">
        <v>0</v>
      </c>
      <c r="AA1195">
        <v>9</v>
      </c>
      <c r="AB1195">
        <v>3</v>
      </c>
      <c r="AC1195">
        <v>0</v>
      </c>
      <c r="AD1195">
        <v>10</v>
      </c>
      <c r="AE1195">
        <v>0</v>
      </c>
      <c r="AF1195">
        <v>0</v>
      </c>
      <c r="AG1195">
        <v>2</v>
      </c>
      <c r="AH1195">
        <v>1</v>
      </c>
      <c r="AI1195" t="s">
        <v>679</v>
      </c>
      <c r="AJ1195">
        <v>35.831994999999999</v>
      </c>
      <c r="AK1195" t="s">
        <v>680</v>
      </c>
      <c r="AL1195">
        <v>-83.965351999999996</v>
      </c>
      <c r="AM1195">
        <v>25</v>
      </c>
      <c r="AN1195">
        <v>975</v>
      </c>
      <c r="AO1195" t="s">
        <v>118</v>
      </c>
      <c r="AP1195">
        <v>-63</v>
      </c>
      <c r="AQ1195">
        <v>-64</v>
      </c>
      <c r="AR1195">
        <v>-128</v>
      </c>
      <c r="AZ1195">
        <v>300</v>
      </c>
      <c r="BA1195">
        <v>1</v>
      </c>
      <c r="BB1195" t="str">
        <f t="shared" si="56"/>
        <v xml:space="preserve">N162AM  </v>
      </c>
      <c r="BC1195">
        <v>1</v>
      </c>
      <c r="BE1195">
        <v>0</v>
      </c>
      <c r="BF1195">
        <v>0</v>
      </c>
      <c r="BG1195">
        <v>0</v>
      </c>
      <c r="BH1195">
        <v>1225</v>
      </c>
      <c r="BI1195">
        <v>1</v>
      </c>
      <c r="BJ1195">
        <v>1</v>
      </c>
      <c r="BK1195">
        <v>1</v>
      </c>
      <c r="BL1195">
        <v>0</v>
      </c>
      <c r="BO1195">
        <v>0</v>
      </c>
      <c r="BP1195">
        <v>0</v>
      </c>
      <c r="BW1195" t="str">
        <f>"14:47:59.187"</f>
        <v>14:47:59.187</v>
      </c>
      <c r="CJ1195">
        <v>2</v>
      </c>
      <c r="CK1195">
        <v>2</v>
      </c>
      <c r="CL1195">
        <v>0</v>
      </c>
      <c r="CM1195">
        <v>2</v>
      </c>
      <c r="CN1195">
        <v>0</v>
      </c>
      <c r="CO1195">
        <v>2</v>
      </c>
      <c r="CP1195" t="s">
        <v>119</v>
      </c>
      <c r="CQ1195">
        <v>232</v>
      </c>
      <c r="CR1195">
        <v>1</v>
      </c>
      <c r="CW1195">
        <v>15317852</v>
      </c>
      <c r="CY1195">
        <v>1</v>
      </c>
      <c r="CZ1195">
        <v>0</v>
      </c>
      <c r="DA1195">
        <v>1</v>
      </c>
      <c r="DB1195">
        <v>0</v>
      </c>
      <c r="DC1195">
        <v>0</v>
      </c>
      <c r="DD1195">
        <v>1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"12/16/2021 14:47:59.424"</f>
        <v>12/16/2021 14:47:59.424</v>
      </c>
      <c r="C1196" t="str">
        <f t="shared" si="55"/>
        <v>FFDFD3C0</v>
      </c>
      <c r="D1196" t="s">
        <v>124</v>
      </c>
      <c r="E1196">
        <v>5</v>
      </c>
      <c r="F1196">
        <v>1005</v>
      </c>
      <c r="G1196" t="s">
        <v>114</v>
      </c>
      <c r="J1196" t="s">
        <v>125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"14:47:59.180"</f>
        <v>14:47:59.180</v>
      </c>
      <c r="T1196" t="str">
        <f>"14:47:58.680"</f>
        <v>14:47:58.680</v>
      </c>
      <c r="U1196" t="str">
        <f t="shared" si="54"/>
        <v>A0F928</v>
      </c>
      <c r="V1196">
        <v>0</v>
      </c>
      <c r="W1196">
        <v>0</v>
      </c>
      <c r="X1196">
        <v>2</v>
      </c>
      <c r="Z1196">
        <v>0</v>
      </c>
      <c r="AA1196">
        <v>9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2</v>
      </c>
      <c r="AH1196">
        <v>1</v>
      </c>
      <c r="AI1196" t="s">
        <v>679</v>
      </c>
      <c r="AJ1196">
        <v>35.831994999999999</v>
      </c>
      <c r="AK1196" t="s">
        <v>680</v>
      </c>
      <c r="AL1196">
        <v>-83.965351999999996</v>
      </c>
      <c r="AM1196">
        <v>25</v>
      </c>
      <c r="AN1196">
        <v>975</v>
      </c>
      <c r="AO1196" t="s">
        <v>118</v>
      </c>
      <c r="AP1196">
        <v>-63</v>
      </c>
      <c r="AQ1196">
        <v>-64</v>
      </c>
      <c r="AR1196">
        <v>-128</v>
      </c>
      <c r="AZ1196">
        <v>300</v>
      </c>
      <c r="BA1196">
        <v>1</v>
      </c>
      <c r="BB1196" t="str">
        <f t="shared" si="56"/>
        <v xml:space="preserve">N162AM  </v>
      </c>
      <c r="BC1196">
        <v>1</v>
      </c>
      <c r="BE1196">
        <v>0</v>
      </c>
      <c r="BF1196">
        <v>0</v>
      </c>
      <c r="BG1196">
        <v>0</v>
      </c>
      <c r="BH1196">
        <v>1225</v>
      </c>
      <c r="BI1196">
        <v>1</v>
      </c>
      <c r="BJ1196">
        <v>1</v>
      </c>
      <c r="BK1196">
        <v>1</v>
      </c>
      <c r="BL1196">
        <v>0</v>
      </c>
      <c r="BO1196">
        <v>0</v>
      </c>
      <c r="BP1196">
        <v>0</v>
      </c>
      <c r="BW1196" t="str">
        <f>"14:47:59.187"</f>
        <v>14:47:59.187</v>
      </c>
      <c r="CJ1196">
        <v>3</v>
      </c>
      <c r="CK1196">
        <v>2</v>
      </c>
      <c r="CL1196">
        <v>0</v>
      </c>
      <c r="CM1196">
        <v>2</v>
      </c>
      <c r="CN1196">
        <v>0</v>
      </c>
      <c r="CO1196">
        <v>2</v>
      </c>
      <c r="CP1196" t="s">
        <v>119</v>
      </c>
      <c r="CQ1196">
        <v>232</v>
      </c>
      <c r="CR1196">
        <v>1</v>
      </c>
      <c r="CW1196">
        <v>15317852</v>
      </c>
      <c r="CY1196">
        <v>1</v>
      </c>
      <c r="CZ1196">
        <v>0</v>
      </c>
      <c r="DA1196">
        <v>1</v>
      </c>
      <c r="DB1196">
        <v>0</v>
      </c>
      <c r="DC1196">
        <v>0</v>
      </c>
      <c r="DD1196">
        <v>1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"12/16/2021 14:48:00.522"</f>
        <v>12/16/2021 14:48:00.522</v>
      </c>
      <c r="C1197" t="str">
        <f t="shared" si="55"/>
        <v>FFDFD3C0</v>
      </c>
      <c r="D1197" t="s">
        <v>133</v>
      </c>
      <c r="E1197">
        <v>44</v>
      </c>
      <c r="H1197">
        <v>131</v>
      </c>
      <c r="I1197" t="s">
        <v>134</v>
      </c>
      <c r="J1197" t="s">
        <v>135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"14:48:00.297"</f>
        <v>14:48:00.297</v>
      </c>
      <c r="T1197" t="str">
        <f>"14:47:59.797"</f>
        <v>14:47:59.797</v>
      </c>
      <c r="U1197" t="str">
        <f t="shared" si="54"/>
        <v>A0F928</v>
      </c>
      <c r="V1197">
        <v>0</v>
      </c>
      <c r="W1197">
        <v>0</v>
      </c>
      <c r="X1197">
        <v>2</v>
      </c>
      <c r="Z1197">
        <v>0</v>
      </c>
      <c r="AA1197">
        <v>9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2</v>
      </c>
      <c r="AH1197">
        <v>1</v>
      </c>
      <c r="AI1197" t="s">
        <v>681</v>
      </c>
      <c r="AJ1197">
        <v>35.831673000000002</v>
      </c>
      <c r="AK1197" t="s">
        <v>682</v>
      </c>
      <c r="AL1197">
        <v>-83.965694999999997</v>
      </c>
      <c r="AM1197">
        <v>25</v>
      </c>
      <c r="AN1197">
        <v>975</v>
      </c>
      <c r="AO1197" t="s">
        <v>118</v>
      </c>
      <c r="AP1197">
        <v>-63</v>
      </c>
      <c r="AQ1197">
        <v>-64</v>
      </c>
      <c r="AR1197">
        <v>-128</v>
      </c>
      <c r="AZ1197">
        <v>300</v>
      </c>
      <c r="BA1197">
        <v>1</v>
      </c>
      <c r="BB1197" t="str">
        <f t="shared" si="56"/>
        <v xml:space="preserve">N162AM  </v>
      </c>
      <c r="BC1197">
        <v>1</v>
      </c>
      <c r="BE1197">
        <v>0</v>
      </c>
      <c r="BF1197">
        <v>0</v>
      </c>
      <c r="BG1197">
        <v>0</v>
      </c>
      <c r="BH1197">
        <v>1225</v>
      </c>
      <c r="BI1197">
        <v>1</v>
      </c>
      <c r="BJ1197">
        <v>1</v>
      </c>
      <c r="BK1197">
        <v>1</v>
      </c>
      <c r="BL1197">
        <v>0</v>
      </c>
      <c r="BO1197">
        <v>0</v>
      </c>
      <c r="BP1197">
        <v>0</v>
      </c>
      <c r="BW1197" t="str">
        <f>"14:48:00.298"</f>
        <v>14:48:00.298</v>
      </c>
      <c r="CJ1197">
        <v>3</v>
      </c>
      <c r="CK1197">
        <v>2</v>
      </c>
      <c r="CL1197">
        <v>0</v>
      </c>
      <c r="CM1197">
        <v>2</v>
      </c>
      <c r="CN1197">
        <v>0</v>
      </c>
      <c r="CO1197">
        <v>3</v>
      </c>
      <c r="CP1197" t="s">
        <v>119</v>
      </c>
      <c r="CQ1197">
        <v>232</v>
      </c>
      <c r="CR1197">
        <v>1</v>
      </c>
      <c r="CW1197">
        <v>15319492</v>
      </c>
      <c r="CY1197">
        <v>1</v>
      </c>
      <c r="CZ1197">
        <v>0</v>
      </c>
      <c r="DA1197">
        <v>0</v>
      </c>
      <c r="DB1197">
        <v>0</v>
      </c>
      <c r="DC1197">
        <v>0</v>
      </c>
      <c r="DD1197">
        <v>1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"12/16/2021 14:48:00.522"</f>
        <v>12/16/2021 14:48:00.522</v>
      </c>
      <c r="C1198" t="str">
        <f t="shared" si="55"/>
        <v>FFDFD3C0</v>
      </c>
      <c r="D1198" t="s">
        <v>113</v>
      </c>
      <c r="E1198">
        <v>8</v>
      </c>
      <c r="H1198">
        <v>176</v>
      </c>
      <c r="I1198" t="s">
        <v>114</v>
      </c>
      <c r="J1198" t="s">
        <v>115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"14:48:00.297"</f>
        <v>14:48:00.297</v>
      </c>
      <c r="T1198" t="str">
        <f>"14:47:59.797"</f>
        <v>14:47:59.797</v>
      </c>
      <c r="U1198" t="str">
        <f t="shared" si="54"/>
        <v>A0F928</v>
      </c>
      <c r="V1198">
        <v>0</v>
      </c>
      <c r="W1198">
        <v>0</v>
      </c>
      <c r="X1198">
        <v>2</v>
      </c>
      <c r="Z1198">
        <v>0</v>
      </c>
      <c r="AA1198">
        <v>9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2</v>
      </c>
      <c r="AH1198">
        <v>1</v>
      </c>
      <c r="AI1198" t="s">
        <v>681</v>
      </c>
      <c r="AJ1198">
        <v>35.831673000000002</v>
      </c>
      <c r="AK1198" t="s">
        <v>682</v>
      </c>
      <c r="AL1198">
        <v>-83.965694999999997</v>
      </c>
      <c r="AM1198">
        <v>25</v>
      </c>
      <c r="AN1198">
        <v>975</v>
      </c>
      <c r="AO1198" t="s">
        <v>118</v>
      </c>
      <c r="AP1198">
        <v>-63</v>
      </c>
      <c r="AQ1198">
        <v>-64</v>
      </c>
      <c r="AR1198">
        <v>-128</v>
      </c>
      <c r="AZ1198">
        <v>300</v>
      </c>
      <c r="BA1198">
        <v>1</v>
      </c>
      <c r="BB1198" t="str">
        <f t="shared" si="56"/>
        <v xml:space="preserve">N162AM  </v>
      </c>
      <c r="BC1198">
        <v>1</v>
      </c>
      <c r="BE1198">
        <v>0</v>
      </c>
      <c r="BF1198">
        <v>0</v>
      </c>
      <c r="BG1198">
        <v>0</v>
      </c>
      <c r="BH1198">
        <v>1225</v>
      </c>
      <c r="BI1198">
        <v>1</v>
      </c>
      <c r="BJ1198">
        <v>1</v>
      </c>
      <c r="BK1198">
        <v>1</v>
      </c>
      <c r="BL1198">
        <v>0</v>
      </c>
      <c r="BO1198">
        <v>0</v>
      </c>
      <c r="BP1198">
        <v>0</v>
      </c>
      <c r="BW1198" t="str">
        <f>"14:48:00.298"</f>
        <v>14:48:00.298</v>
      </c>
      <c r="CJ1198">
        <v>3</v>
      </c>
      <c r="CK1198">
        <v>2</v>
      </c>
      <c r="CL1198">
        <v>0</v>
      </c>
      <c r="CM1198">
        <v>2</v>
      </c>
      <c r="CN1198">
        <v>0</v>
      </c>
      <c r="CO1198">
        <v>3</v>
      </c>
      <c r="CP1198" t="s">
        <v>119</v>
      </c>
      <c r="CQ1198">
        <v>232</v>
      </c>
      <c r="CR1198">
        <v>1</v>
      </c>
      <c r="CW1198">
        <v>15319492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1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"12/16/2021 14:48:00.537"</f>
        <v>12/16/2021 14:48:00.537</v>
      </c>
      <c r="C1199" t="str">
        <f t="shared" si="55"/>
        <v>FFDFD3C0</v>
      </c>
      <c r="D1199" t="s">
        <v>124</v>
      </c>
      <c r="E1199">
        <v>10</v>
      </c>
      <c r="F1199">
        <v>1010</v>
      </c>
      <c r="G1199" t="s">
        <v>130</v>
      </c>
      <c r="J1199" t="s">
        <v>125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"14:48:00.297"</f>
        <v>14:48:00.297</v>
      </c>
      <c r="T1199" t="str">
        <f>"14:47:59.797"</f>
        <v>14:47:59.797</v>
      </c>
      <c r="U1199" t="str">
        <f t="shared" si="54"/>
        <v>A0F928</v>
      </c>
      <c r="V1199">
        <v>0</v>
      </c>
      <c r="W1199">
        <v>0</v>
      </c>
      <c r="X1199">
        <v>2</v>
      </c>
      <c r="Z1199">
        <v>0</v>
      </c>
      <c r="AA1199">
        <v>9</v>
      </c>
      <c r="AB1199">
        <v>3</v>
      </c>
      <c r="AC1199">
        <v>0</v>
      </c>
      <c r="AD1199">
        <v>10</v>
      </c>
      <c r="AE1199">
        <v>0</v>
      </c>
      <c r="AF1199">
        <v>0</v>
      </c>
      <c r="AG1199">
        <v>2</v>
      </c>
      <c r="AH1199">
        <v>1</v>
      </c>
      <c r="AI1199" t="s">
        <v>681</v>
      </c>
      <c r="AJ1199">
        <v>35.831673000000002</v>
      </c>
      <c r="AK1199" t="s">
        <v>682</v>
      </c>
      <c r="AL1199">
        <v>-83.965694999999997</v>
      </c>
      <c r="AM1199">
        <v>25</v>
      </c>
      <c r="AN1199">
        <v>975</v>
      </c>
      <c r="AO1199" t="s">
        <v>118</v>
      </c>
      <c r="AP1199">
        <v>-63</v>
      </c>
      <c r="AQ1199">
        <v>-64</v>
      </c>
      <c r="AR1199">
        <v>-128</v>
      </c>
      <c r="AZ1199">
        <v>300</v>
      </c>
      <c r="BA1199">
        <v>1</v>
      </c>
      <c r="BB1199" t="str">
        <f t="shared" si="56"/>
        <v xml:space="preserve">N162AM  </v>
      </c>
      <c r="BC1199">
        <v>1</v>
      </c>
      <c r="BE1199">
        <v>0</v>
      </c>
      <c r="BF1199">
        <v>0</v>
      </c>
      <c r="BG1199">
        <v>0</v>
      </c>
      <c r="BH1199">
        <v>1225</v>
      </c>
      <c r="BI1199">
        <v>1</v>
      </c>
      <c r="BJ1199">
        <v>1</v>
      </c>
      <c r="BK1199">
        <v>1</v>
      </c>
      <c r="BL1199">
        <v>0</v>
      </c>
      <c r="BO1199">
        <v>0</v>
      </c>
      <c r="BP1199">
        <v>0</v>
      </c>
      <c r="BW1199" t="str">
        <f>"14:48:00.298"</f>
        <v>14:48:00.298</v>
      </c>
      <c r="CJ1199">
        <v>2</v>
      </c>
      <c r="CK1199">
        <v>2</v>
      </c>
      <c r="CL1199">
        <v>0</v>
      </c>
      <c r="CM1199">
        <v>2</v>
      </c>
      <c r="CN1199">
        <v>0</v>
      </c>
      <c r="CO1199">
        <v>3</v>
      </c>
      <c r="CP1199" t="s">
        <v>119</v>
      </c>
      <c r="CQ1199">
        <v>232</v>
      </c>
      <c r="CR1199">
        <v>1</v>
      </c>
      <c r="CW1199">
        <v>15319492</v>
      </c>
      <c r="CY1199">
        <v>1</v>
      </c>
      <c r="CZ1199">
        <v>0</v>
      </c>
      <c r="DA1199">
        <v>1</v>
      </c>
      <c r="DB1199">
        <v>0</v>
      </c>
      <c r="DC1199">
        <v>0</v>
      </c>
      <c r="DD1199">
        <v>1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"12/16/2021 14:48:00.600"</f>
        <v>12/16/2021 14:48:00.600</v>
      </c>
      <c r="C1200" t="str">
        <f t="shared" si="55"/>
        <v>FFDFD3C0</v>
      </c>
      <c r="D1200" t="s">
        <v>124</v>
      </c>
      <c r="E1200">
        <v>5</v>
      </c>
      <c r="F1200">
        <v>1005</v>
      </c>
      <c r="G1200" t="s">
        <v>114</v>
      </c>
      <c r="J1200" t="s">
        <v>125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"14:48:00.297"</f>
        <v>14:48:00.297</v>
      </c>
      <c r="T1200" t="str">
        <f>"14:47:59.797"</f>
        <v>14:47:59.797</v>
      </c>
      <c r="U1200" t="str">
        <f t="shared" si="54"/>
        <v>A0F928</v>
      </c>
      <c r="V1200">
        <v>0</v>
      </c>
      <c r="W1200">
        <v>0</v>
      </c>
      <c r="X1200">
        <v>2</v>
      </c>
      <c r="Z1200">
        <v>0</v>
      </c>
      <c r="AA1200">
        <v>9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2</v>
      </c>
      <c r="AH1200">
        <v>1</v>
      </c>
      <c r="AI1200" t="s">
        <v>681</v>
      </c>
      <c r="AJ1200">
        <v>35.831673000000002</v>
      </c>
      <c r="AK1200" t="s">
        <v>682</v>
      </c>
      <c r="AL1200">
        <v>-83.965694999999997</v>
      </c>
      <c r="AM1200">
        <v>25</v>
      </c>
      <c r="AN1200">
        <v>975</v>
      </c>
      <c r="AO1200" t="s">
        <v>118</v>
      </c>
      <c r="AP1200">
        <v>-63</v>
      </c>
      <c r="AQ1200">
        <v>-64</v>
      </c>
      <c r="AR1200">
        <v>-128</v>
      </c>
      <c r="AZ1200">
        <v>300</v>
      </c>
      <c r="BA1200">
        <v>1</v>
      </c>
      <c r="BB1200" t="str">
        <f t="shared" si="56"/>
        <v xml:space="preserve">N162AM  </v>
      </c>
      <c r="BC1200">
        <v>1</v>
      </c>
      <c r="BE1200">
        <v>0</v>
      </c>
      <c r="BF1200">
        <v>0</v>
      </c>
      <c r="BG1200">
        <v>0</v>
      </c>
      <c r="BH1200">
        <v>1225</v>
      </c>
      <c r="BI1200">
        <v>1</v>
      </c>
      <c r="BJ1200">
        <v>1</v>
      </c>
      <c r="BK1200">
        <v>1</v>
      </c>
      <c r="BL1200">
        <v>0</v>
      </c>
      <c r="BO1200">
        <v>0</v>
      </c>
      <c r="BP1200">
        <v>0</v>
      </c>
      <c r="BW1200" t="str">
        <f>"14:48:00.298"</f>
        <v>14:48:00.298</v>
      </c>
      <c r="CJ1200">
        <v>3</v>
      </c>
      <c r="CK1200">
        <v>2</v>
      </c>
      <c r="CL1200">
        <v>0</v>
      </c>
      <c r="CM1200">
        <v>2</v>
      </c>
      <c r="CN1200">
        <v>0</v>
      </c>
      <c r="CO1200">
        <v>3</v>
      </c>
      <c r="CP1200" t="s">
        <v>119</v>
      </c>
      <c r="CQ1200">
        <v>232</v>
      </c>
      <c r="CR1200">
        <v>1</v>
      </c>
      <c r="CW1200">
        <v>15319492</v>
      </c>
      <c r="CY1200">
        <v>1</v>
      </c>
      <c r="CZ1200">
        <v>0</v>
      </c>
      <c r="DA1200">
        <v>1</v>
      </c>
      <c r="DB1200">
        <v>0</v>
      </c>
      <c r="DC1200">
        <v>0</v>
      </c>
      <c r="DD1200">
        <v>1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"12/16/2021 14:48:02.334"</f>
        <v>12/16/2021 14:48:02.334</v>
      </c>
      <c r="C1201" t="str">
        <f t="shared" si="55"/>
        <v>FFDFD3C0</v>
      </c>
      <c r="D1201" t="s">
        <v>124</v>
      </c>
      <c r="E1201">
        <v>10</v>
      </c>
      <c r="F1201">
        <v>1010</v>
      </c>
      <c r="G1201" t="s">
        <v>130</v>
      </c>
      <c r="J1201" t="s">
        <v>125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"14:48:02.102"</f>
        <v>14:48:02.102</v>
      </c>
      <c r="T1201" t="str">
        <f>"14:48:01.202"</f>
        <v>14:48:01.202</v>
      </c>
      <c r="U1201" t="str">
        <f t="shared" si="54"/>
        <v>A0F928</v>
      </c>
      <c r="V1201">
        <v>0</v>
      </c>
      <c r="W1201">
        <v>0</v>
      </c>
      <c r="X1201">
        <v>2</v>
      </c>
      <c r="Z1201">
        <v>0</v>
      </c>
      <c r="AA1201">
        <v>9</v>
      </c>
      <c r="AB1201">
        <v>3</v>
      </c>
      <c r="AC1201">
        <v>0</v>
      </c>
      <c r="AD1201">
        <v>10</v>
      </c>
      <c r="AE1201">
        <v>0</v>
      </c>
      <c r="AF1201">
        <v>0</v>
      </c>
      <c r="AG1201">
        <v>2</v>
      </c>
      <c r="AH1201">
        <v>1</v>
      </c>
      <c r="AI1201" t="s">
        <v>683</v>
      </c>
      <c r="AJ1201">
        <v>35.831158000000002</v>
      </c>
      <c r="AK1201" t="s">
        <v>684</v>
      </c>
      <c r="AL1201">
        <v>-83.966339000000005</v>
      </c>
      <c r="AM1201">
        <v>25</v>
      </c>
      <c r="AN1201">
        <v>975</v>
      </c>
      <c r="AO1201" t="s">
        <v>118</v>
      </c>
      <c r="AP1201">
        <v>-61</v>
      </c>
      <c r="AQ1201">
        <v>-64</v>
      </c>
      <c r="AR1201">
        <v>-128</v>
      </c>
      <c r="AZ1201">
        <v>300</v>
      </c>
      <c r="BA1201">
        <v>1</v>
      </c>
      <c r="BB1201" t="str">
        <f t="shared" si="56"/>
        <v xml:space="preserve">N162AM  </v>
      </c>
      <c r="BC1201">
        <v>1</v>
      </c>
      <c r="BE1201">
        <v>0</v>
      </c>
      <c r="BF1201">
        <v>0</v>
      </c>
      <c r="BG1201">
        <v>0</v>
      </c>
      <c r="BH1201">
        <v>1225</v>
      </c>
      <c r="BI1201">
        <v>1</v>
      </c>
      <c r="BJ1201">
        <v>1</v>
      </c>
      <c r="BK1201">
        <v>1</v>
      </c>
      <c r="BL1201">
        <v>0</v>
      </c>
      <c r="BO1201">
        <v>0</v>
      </c>
      <c r="BP1201">
        <v>0</v>
      </c>
      <c r="BW1201" t="str">
        <f>"14:48:02.109"</f>
        <v>14:48:02.109</v>
      </c>
      <c r="CJ1201">
        <v>2</v>
      </c>
      <c r="CK1201">
        <v>2</v>
      </c>
      <c r="CL1201">
        <v>0</v>
      </c>
      <c r="CM1201">
        <v>2</v>
      </c>
      <c r="CN1201">
        <v>0</v>
      </c>
      <c r="CO1201">
        <v>2</v>
      </c>
      <c r="CP1201" t="s">
        <v>119</v>
      </c>
      <c r="CQ1201">
        <v>232</v>
      </c>
      <c r="CR1201">
        <v>1</v>
      </c>
      <c r="CW1201">
        <v>15322336</v>
      </c>
      <c r="CY1201">
        <v>1</v>
      </c>
      <c r="CZ1201">
        <v>0</v>
      </c>
      <c r="DA1201">
        <v>0</v>
      </c>
      <c r="DB1201">
        <v>0</v>
      </c>
      <c r="DC1201">
        <v>0</v>
      </c>
      <c r="DD1201">
        <v>1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"12/16/2021 14:48:02.334"</f>
        <v>12/16/2021 14:48:02.334</v>
      </c>
      <c r="C1202" t="str">
        <f t="shared" si="55"/>
        <v>FFDFD3C0</v>
      </c>
      <c r="D1202" t="s">
        <v>113</v>
      </c>
      <c r="E1202">
        <v>8</v>
      </c>
      <c r="H1202">
        <v>176</v>
      </c>
      <c r="I1202" t="s">
        <v>114</v>
      </c>
      <c r="J1202" t="s">
        <v>115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"14:48:02.102"</f>
        <v>14:48:02.102</v>
      </c>
      <c r="T1202" t="str">
        <f>"14:48:01.202"</f>
        <v>14:48:01.202</v>
      </c>
      <c r="U1202" t="str">
        <f t="shared" si="54"/>
        <v>A0F928</v>
      </c>
      <c r="V1202">
        <v>0</v>
      </c>
      <c r="W1202">
        <v>0</v>
      </c>
      <c r="X1202">
        <v>2</v>
      </c>
      <c r="Z1202">
        <v>0</v>
      </c>
      <c r="AA1202">
        <v>9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2</v>
      </c>
      <c r="AH1202">
        <v>1</v>
      </c>
      <c r="AI1202" t="s">
        <v>683</v>
      </c>
      <c r="AJ1202">
        <v>35.831158000000002</v>
      </c>
      <c r="AK1202" t="s">
        <v>684</v>
      </c>
      <c r="AL1202">
        <v>-83.966339000000005</v>
      </c>
      <c r="AM1202">
        <v>25</v>
      </c>
      <c r="AN1202">
        <v>975</v>
      </c>
      <c r="AO1202" t="s">
        <v>118</v>
      </c>
      <c r="AP1202">
        <v>-61</v>
      </c>
      <c r="AQ1202">
        <v>-64</v>
      </c>
      <c r="AR1202">
        <v>-128</v>
      </c>
      <c r="AZ1202">
        <v>300</v>
      </c>
      <c r="BA1202">
        <v>1</v>
      </c>
      <c r="BB1202" t="str">
        <f t="shared" si="56"/>
        <v xml:space="preserve">N162AM  </v>
      </c>
      <c r="BC1202">
        <v>1</v>
      </c>
      <c r="BE1202">
        <v>0</v>
      </c>
      <c r="BF1202">
        <v>0</v>
      </c>
      <c r="BG1202">
        <v>0</v>
      </c>
      <c r="BH1202">
        <v>1225</v>
      </c>
      <c r="BI1202">
        <v>1</v>
      </c>
      <c r="BJ1202">
        <v>1</v>
      </c>
      <c r="BK1202">
        <v>1</v>
      </c>
      <c r="BL1202">
        <v>0</v>
      </c>
      <c r="BO1202">
        <v>0</v>
      </c>
      <c r="BP1202">
        <v>0</v>
      </c>
      <c r="BW1202" t="str">
        <f>"14:48:02.109"</f>
        <v>14:48:02.109</v>
      </c>
      <c r="CJ1202">
        <v>3</v>
      </c>
      <c r="CK1202">
        <v>2</v>
      </c>
      <c r="CL1202">
        <v>0</v>
      </c>
      <c r="CM1202">
        <v>2</v>
      </c>
      <c r="CN1202">
        <v>0</v>
      </c>
      <c r="CO1202">
        <v>2</v>
      </c>
      <c r="CP1202" t="s">
        <v>119</v>
      </c>
      <c r="CQ1202">
        <v>232</v>
      </c>
      <c r="CR1202">
        <v>1</v>
      </c>
      <c r="CW1202">
        <v>15322336</v>
      </c>
      <c r="CY1202">
        <v>1</v>
      </c>
      <c r="CZ1202">
        <v>0</v>
      </c>
      <c r="DA1202">
        <v>1</v>
      </c>
      <c r="DB1202">
        <v>0</v>
      </c>
      <c r="DC1202">
        <v>0</v>
      </c>
      <c r="DD1202">
        <v>1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"12/16/2021 14:48:02.334"</f>
        <v>12/16/2021 14:48:02.334</v>
      </c>
      <c r="C1203" t="str">
        <f t="shared" si="55"/>
        <v>FFDFD3C0</v>
      </c>
      <c r="D1203" t="s">
        <v>133</v>
      </c>
      <c r="E1203">
        <v>44</v>
      </c>
      <c r="H1203">
        <v>131</v>
      </c>
      <c r="I1203" t="s">
        <v>134</v>
      </c>
      <c r="J1203" t="s">
        <v>135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"14:48:02.102"</f>
        <v>14:48:02.102</v>
      </c>
      <c r="T1203" t="str">
        <f>"14:48:01.202"</f>
        <v>14:48:01.202</v>
      </c>
      <c r="U1203" t="str">
        <f t="shared" si="54"/>
        <v>A0F928</v>
      </c>
      <c r="V1203">
        <v>0</v>
      </c>
      <c r="W1203">
        <v>0</v>
      </c>
      <c r="X1203">
        <v>2</v>
      </c>
      <c r="Z1203">
        <v>0</v>
      </c>
      <c r="AA1203">
        <v>9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2</v>
      </c>
      <c r="AH1203">
        <v>1</v>
      </c>
      <c r="AI1203" t="s">
        <v>683</v>
      </c>
      <c r="AJ1203">
        <v>35.831158000000002</v>
      </c>
      <c r="AK1203" t="s">
        <v>684</v>
      </c>
      <c r="AL1203">
        <v>-83.966339000000005</v>
      </c>
      <c r="AM1203">
        <v>25</v>
      </c>
      <c r="AN1203">
        <v>975</v>
      </c>
      <c r="AO1203" t="s">
        <v>118</v>
      </c>
      <c r="AP1203">
        <v>-61</v>
      </c>
      <c r="AQ1203">
        <v>-64</v>
      </c>
      <c r="AR1203">
        <v>-128</v>
      </c>
      <c r="AZ1203">
        <v>300</v>
      </c>
      <c r="BA1203">
        <v>1</v>
      </c>
      <c r="BB1203" t="str">
        <f t="shared" si="56"/>
        <v xml:space="preserve">N162AM  </v>
      </c>
      <c r="BC1203">
        <v>1</v>
      </c>
      <c r="BE1203">
        <v>0</v>
      </c>
      <c r="BF1203">
        <v>0</v>
      </c>
      <c r="BG1203">
        <v>0</v>
      </c>
      <c r="BH1203">
        <v>1225</v>
      </c>
      <c r="BI1203">
        <v>1</v>
      </c>
      <c r="BJ1203">
        <v>1</v>
      </c>
      <c r="BK1203">
        <v>1</v>
      </c>
      <c r="BL1203">
        <v>0</v>
      </c>
      <c r="BO1203">
        <v>0</v>
      </c>
      <c r="BP1203">
        <v>0</v>
      </c>
      <c r="BW1203" t="str">
        <f>"14:48:02.109"</f>
        <v>14:48:02.109</v>
      </c>
      <c r="CJ1203">
        <v>3</v>
      </c>
      <c r="CK1203">
        <v>2</v>
      </c>
      <c r="CL1203">
        <v>0</v>
      </c>
      <c r="CM1203">
        <v>2</v>
      </c>
      <c r="CN1203">
        <v>0</v>
      </c>
      <c r="CO1203">
        <v>2</v>
      </c>
      <c r="CP1203" t="s">
        <v>119</v>
      </c>
      <c r="CQ1203">
        <v>232</v>
      </c>
      <c r="CR1203">
        <v>1</v>
      </c>
      <c r="CW1203">
        <v>15322336</v>
      </c>
      <c r="CY1203">
        <v>1</v>
      </c>
      <c r="CZ1203">
        <v>0</v>
      </c>
      <c r="DA1203">
        <v>1</v>
      </c>
      <c r="DB1203">
        <v>0</v>
      </c>
      <c r="DC1203">
        <v>0</v>
      </c>
      <c r="DD1203">
        <v>1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"12/16/2021 14:48:02.381"</f>
        <v>12/16/2021 14:48:02.381</v>
      </c>
      <c r="C1204" t="str">
        <f t="shared" si="55"/>
        <v>FFDFD3C0</v>
      </c>
      <c r="D1204" t="s">
        <v>124</v>
      </c>
      <c r="E1204">
        <v>5</v>
      </c>
      <c r="F1204">
        <v>1005</v>
      </c>
      <c r="G1204" t="s">
        <v>114</v>
      </c>
      <c r="J1204" t="s">
        <v>125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"14:48:02.102"</f>
        <v>14:48:02.102</v>
      </c>
      <c r="T1204" t="str">
        <f>"14:48:01.202"</f>
        <v>14:48:01.202</v>
      </c>
      <c r="U1204" t="str">
        <f t="shared" si="54"/>
        <v>A0F928</v>
      </c>
      <c r="V1204">
        <v>0</v>
      </c>
      <c r="W1204">
        <v>0</v>
      </c>
      <c r="X1204">
        <v>2</v>
      </c>
      <c r="Z1204">
        <v>0</v>
      </c>
      <c r="AA1204">
        <v>9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2</v>
      </c>
      <c r="AH1204">
        <v>1</v>
      </c>
      <c r="AI1204" t="s">
        <v>683</v>
      </c>
      <c r="AJ1204">
        <v>35.831158000000002</v>
      </c>
      <c r="AK1204" t="s">
        <v>684</v>
      </c>
      <c r="AL1204">
        <v>-83.966339000000005</v>
      </c>
      <c r="AM1204">
        <v>25</v>
      </c>
      <c r="AN1204">
        <v>975</v>
      </c>
      <c r="AO1204" t="s">
        <v>118</v>
      </c>
      <c r="AP1204">
        <v>-61</v>
      </c>
      <c r="AQ1204">
        <v>-64</v>
      </c>
      <c r="AR1204">
        <v>-128</v>
      </c>
      <c r="AZ1204">
        <v>300</v>
      </c>
      <c r="BA1204">
        <v>1</v>
      </c>
      <c r="BB1204" t="str">
        <f t="shared" si="56"/>
        <v xml:space="preserve">N162AM  </v>
      </c>
      <c r="BC1204">
        <v>1</v>
      </c>
      <c r="BE1204">
        <v>0</v>
      </c>
      <c r="BF1204">
        <v>0</v>
      </c>
      <c r="BG1204">
        <v>0</v>
      </c>
      <c r="BH1204">
        <v>1225</v>
      </c>
      <c r="BI1204">
        <v>1</v>
      </c>
      <c r="BJ1204">
        <v>1</v>
      </c>
      <c r="BK1204">
        <v>1</v>
      </c>
      <c r="BL1204">
        <v>0</v>
      </c>
      <c r="BO1204">
        <v>0</v>
      </c>
      <c r="BP1204">
        <v>0</v>
      </c>
      <c r="BW1204" t="str">
        <f>"14:48:02.109"</f>
        <v>14:48:02.109</v>
      </c>
      <c r="CJ1204">
        <v>3</v>
      </c>
      <c r="CK1204">
        <v>2</v>
      </c>
      <c r="CL1204">
        <v>0</v>
      </c>
      <c r="CM1204">
        <v>2</v>
      </c>
      <c r="CN1204">
        <v>0</v>
      </c>
      <c r="CO1204">
        <v>2</v>
      </c>
      <c r="CP1204" t="s">
        <v>119</v>
      </c>
      <c r="CQ1204">
        <v>232</v>
      </c>
      <c r="CR1204">
        <v>1</v>
      </c>
      <c r="CW1204">
        <v>15322336</v>
      </c>
      <c r="CY1204">
        <v>1</v>
      </c>
      <c r="CZ1204">
        <v>0</v>
      </c>
      <c r="DA1204">
        <v>1</v>
      </c>
      <c r="DB1204">
        <v>0</v>
      </c>
      <c r="DC1204">
        <v>0</v>
      </c>
      <c r="DD1204">
        <v>1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"12/16/2021 14:48:03.491"</f>
        <v>12/16/2021 14:48:03.491</v>
      </c>
      <c r="C1205" t="str">
        <f t="shared" si="55"/>
        <v>FFDFD3C0</v>
      </c>
      <c r="D1205" t="s">
        <v>124</v>
      </c>
      <c r="E1205">
        <v>10</v>
      </c>
      <c r="F1205">
        <v>1010</v>
      </c>
      <c r="G1205" t="s">
        <v>130</v>
      </c>
      <c r="J1205" t="s">
        <v>125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"14:48:03.266"</f>
        <v>14:48:03.266</v>
      </c>
      <c r="T1205" t="str">
        <f>"14:48:00.366"</f>
        <v>14:48:00.366</v>
      </c>
      <c r="U1205" t="str">
        <f t="shared" si="54"/>
        <v>A0F928</v>
      </c>
      <c r="V1205">
        <v>0</v>
      </c>
      <c r="W1205">
        <v>0</v>
      </c>
      <c r="X1205">
        <v>2</v>
      </c>
      <c r="Z1205">
        <v>0</v>
      </c>
      <c r="AA1205">
        <v>9</v>
      </c>
      <c r="AB1205">
        <v>3</v>
      </c>
      <c r="AC1205">
        <v>0</v>
      </c>
      <c r="AD1205">
        <v>10</v>
      </c>
      <c r="AE1205">
        <v>0</v>
      </c>
      <c r="AF1205">
        <v>0</v>
      </c>
      <c r="AG1205">
        <v>2</v>
      </c>
      <c r="AH1205">
        <v>1</v>
      </c>
      <c r="AI1205" t="s">
        <v>685</v>
      </c>
      <c r="AJ1205">
        <v>35.830793</v>
      </c>
      <c r="AK1205" t="s">
        <v>686</v>
      </c>
      <c r="AL1205">
        <v>-83.966746000000001</v>
      </c>
      <c r="AM1205">
        <v>25</v>
      </c>
      <c r="AN1205">
        <v>975</v>
      </c>
      <c r="AO1205" t="s">
        <v>118</v>
      </c>
      <c r="AP1205">
        <v>-62</v>
      </c>
      <c r="AQ1205">
        <v>-64</v>
      </c>
      <c r="AR1205">
        <v>-128</v>
      </c>
      <c r="AZ1205">
        <v>300</v>
      </c>
      <c r="BA1205">
        <v>1</v>
      </c>
      <c r="BB1205" t="str">
        <f t="shared" si="56"/>
        <v xml:space="preserve">N162AM  </v>
      </c>
      <c r="BC1205">
        <v>1</v>
      </c>
      <c r="BE1205">
        <v>0</v>
      </c>
      <c r="BF1205">
        <v>0</v>
      </c>
      <c r="BG1205">
        <v>0</v>
      </c>
      <c r="BH1205">
        <v>1225</v>
      </c>
      <c r="BI1205">
        <v>1</v>
      </c>
      <c r="BJ1205">
        <v>1</v>
      </c>
      <c r="BK1205">
        <v>1</v>
      </c>
      <c r="BL1205">
        <v>0</v>
      </c>
      <c r="BO1205">
        <v>0</v>
      </c>
      <c r="BP1205">
        <v>0</v>
      </c>
      <c r="BW1205" t="str">
        <f>"14:48:03.270"</f>
        <v>14:48:03.270</v>
      </c>
      <c r="CJ1205">
        <v>2</v>
      </c>
      <c r="CK1205">
        <v>2</v>
      </c>
      <c r="CL1205">
        <v>0</v>
      </c>
      <c r="CM1205">
        <v>2</v>
      </c>
      <c r="CN1205">
        <v>0</v>
      </c>
      <c r="CO1205">
        <v>2</v>
      </c>
      <c r="CP1205" t="s">
        <v>119</v>
      </c>
      <c r="CQ1205">
        <v>232</v>
      </c>
      <c r="CR1205">
        <v>2</v>
      </c>
      <c r="CW1205">
        <v>6519233</v>
      </c>
      <c r="CY1205">
        <v>1</v>
      </c>
      <c r="CZ1205">
        <v>0</v>
      </c>
      <c r="DA1205">
        <v>0</v>
      </c>
      <c r="DB1205">
        <v>0</v>
      </c>
      <c r="DC1205">
        <v>0</v>
      </c>
      <c r="DD1205">
        <v>1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"12/16/2021 14:48:03.569"</f>
        <v>12/16/2021 14:48:03.569</v>
      </c>
      <c r="C1206" t="str">
        <f t="shared" si="55"/>
        <v>FFDFD3C0</v>
      </c>
      <c r="D1206" t="s">
        <v>113</v>
      </c>
      <c r="E1206">
        <v>8</v>
      </c>
      <c r="H1206">
        <v>176</v>
      </c>
      <c r="I1206" t="s">
        <v>114</v>
      </c>
      <c r="J1206" t="s">
        <v>115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"14:48:03.266"</f>
        <v>14:48:03.266</v>
      </c>
      <c r="T1206" t="str">
        <f>"14:48:00.366"</f>
        <v>14:48:00.366</v>
      </c>
      <c r="U1206" t="str">
        <f t="shared" si="54"/>
        <v>A0F928</v>
      </c>
      <c r="V1206">
        <v>0</v>
      </c>
      <c r="W1206">
        <v>0</v>
      </c>
      <c r="X1206">
        <v>2</v>
      </c>
      <c r="Z1206">
        <v>0</v>
      </c>
      <c r="AA1206">
        <v>9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2</v>
      </c>
      <c r="AH1206">
        <v>1</v>
      </c>
      <c r="AI1206" t="s">
        <v>685</v>
      </c>
      <c r="AJ1206">
        <v>35.830793</v>
      </c>
      <c r="AK1206" t="s">
        <v>686</v>
      </c>
      <c r="AL1206">
        <v>-83.966746000000001</v>
      </c>
      <c r="AM1206">
        <v>25</v>
      </c>
      <c r="AN1206">
        <v>975</v>
      </c>
      <c r="AO1206" t="s">
        <v>118</v>
      </c>
      <c r="AP1206">
        <v>-62</v>
      </c>
      <c r="AQ1206">
        <v>-64</v>
      </c>
      <c r="AR1206">
        <v>-128</v>
      </c>
      <c r="AZ1206">
        <v>300</v>
      </c>
      <c r="BA1206">
        <v>1</v>
      </c>
      <c r="BB1206" t="str">
        <f t="shared" si="56"/>
        <v xml:space="preserve">N162AM  </v>
      </c>
      <c r="BC1206">
        <v>1</v>
      </c>
      <c r="BE1206">
        <v>0</v>
      </c>
      <c r="BF1206">
        <v>0</v>
      </c>
      <c r="BG1206">
        <v>0</v>
      </c>
      <c r="BH1206">
        <v>1225</v>
      </c>
      <c r="BI1206">
        <v>1</v>
      </c>
      <c r="BJ1206">
        <v>1</v>
      </c>
      <c r="BK1206">
        <v>1</v>
      </c>
      <c r="BL1206">
        <v>0</v>
      </c>
      <c r="BO1206">
        <v>0</v>
      </c>
      <c r="BP1206">
        <v>0</v>
      </c>
      <c r="BW1206" t="str">
        <f>"14:48:03.270"</f>
        <v>14:48:03.270</v>
      </c>
      <c r="CJ1206">
        <v>3</v>
      </c>
      <c r="CK1206">
        <v>2</v>
      </c>
      <c r="CL1206">
        <v>0</v>
      </c>
      <c r="CM1206">
        <v>2</v>
      </c>
      <c r="CN1206">
        <v>0</v>
      </c>
      <c r="CO1206">
        <v>2</v>
      </c>
      <c r="CP1206" t="s">
        <v>119</v>
      </c>
      <c r="CQ1206">
        <v>232</v>
      </c>
      <c r="CR1206">
        <v>2</v>
      </c>
      <c r="CW1206">
        <v>6519233</v>
      </c>
      <c r="CY1206">
        <v>1</v>
      </c>
      <c r="CZ1206">
        <v>0</v>
      </c>
      <c r="DA1206">
        <v>1</v>
      </c>
      <c r="DB1206">
        <v>0</v>
      </c>
      <c r="DC1206">
        <v>0</v>
      </c>
      <c r="DD1206">
        <v>1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"12/16/2021 14:48:03.569"</f>
        <v>12/16/2021 14:48:03.569</v>
      </c>
      <c r="C1207" t="str">
        <f t="shared" si="55"/>
        <v>FFDFD3C0</v>
      </c>
      <c r="D1207" t="s">
        <v>124</v>
      </c>
      <c r="E1207">
        <v>5</v>
      </c>
      <c r="F1207">
        <v>1005</v>
      </c>
      <c r="G1207" t="s">
        <v>114</v>
      </c>
      <c r="J1207" t="s">
        <v>125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"14:48:03.266"</f>
        <v>14:48:03.266</v>
      </c>
      <c r="T1207" t="str">
        <f>"14:48:00.366"</f>
        <v>14:48:00.366</v>
      </c>
      <c r="U1207" t="str">
        <f t="shared" si="54"/>
        <v>A0F928</v>
      </c>
      <c r="V1207">
        <v>0</v>
      </c>
      <c r="W1207">
        <v>0</v>
      </c>
      <c r="X1207">
        <v>2</v>
      </c>
      <c r="Z1207">
        <v>0</v>
      </c>
      <c r="AA1207">
        <v>9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2</v>
      </c>
      <c r="AH1207">
        <v>1</v>
      </c>
      <c r="AI1207" t="s">
        <v>685</v>
      </c>
      <c r="AJ1207">
        <v>35.830793</v>
      </c>
      <c r="AK1207" t="s">
        <v>686</v>
      </c>
      <c r="AL1207">
        <v>-83.966746000000001</v>
      </c>
      <c r="AM1207">
        <v>25</v>
      </c>
      <c r="AN1207">
        <v>975</v>
      </c>
      <c r="AO1207" t="s">
        <v>118</v>
      </c>
      <c r="AP1207">
        <v>-62</v>
      </c>
      <c r="AQ1207">
        <v>-64</v>
      </c>
      <c r="AR1207">
        <v>-128</v>
      </c>
      <c r="AZ1207">
        <v>300</v>
      </c>
      <c r="BA1207">
        <v>1</v>
      </c>
      <c r="BB1207" t="str">
        <f t="shared" si="56"/>
        <v xml:space="preserve">N162AM  </v>
      </c>
      <c r="BC1207">
        <v>1</v>
      </c>
      <c r="BE1207">
        <v>0</v>
      </c>
      <c r="BF1207">
        <v>0</v>
      </c>
      <c r="BG1207">
        <v>0</v>
      </c>
      <c r="BH1207">
        <v>1225</v>
      </c>
      <c r="BI1207">
        <v>1</v>
      </c>
      <c r="BJ1207">
        <v>1</v>
      </c>
      <c r="BK1207">
        <v>1</v>
      </c>
      <c r="BL1207">
        <v>0</v>
      </c>
      <c r="BO1207">
        <v>0</v>
      </c>
      <c r="BP1207">
        <v>0</v>
      </c>
      <c r="BW1207" t="str">
        <f>"14:48:03.270"</f>
        <v>14:48:03.270</v>
      </c>
      <c r="CJ1207">
        <v>3</v>
      </c>
      <c r="CK1207">
        <v>2</v>
      </c>
      <c r="CL1207">
        <v>0</v>
      </c>
      <c r="CM1207">
        <v>2</v>
      </c>
      <c r="CN1207">
        <v>0</v>
      </c>
      <c r="CO1207">
        <v>2</v>
      </c>
      <c r="CP1207" t="s">
        <v>119</v>
      </c>
      <c r="CQ1207">
        <v>232</v>
      </c>
      <c r="CR1207">
        <v>2</v>
      </c>
      <c r="CW1207">
        <v>6519233</v>
      </c>
      <c r="CY1207">
        <v>1</v>
      </c>
      <c r="CZ1207">
        <v>0</v>
      </c>
      <c r="DA1207">
        <v>1</v>
      </c>
      <c r="DB1207">
        <v>0</v>
      </c>
      <c r="DC1207">
        <v>0</v>
      </c>
      <c r="DD1207">
        <v>1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"12/16/2021 14:48:03.569"</f>
        <v>12/16/2021 14:48:03.569</v>
      </c>
      <c r="C1208" t="str">
        <f t="shared" si="55"/>
        <v>FFDFD3C0</v>
      </c>
      <c r="D1208" t="s">
        <v>133</v>
      </c>
      <c r="E1208">
        <v>44</v>
      </c>
      <c r="H1208">
        <v>131</v>
      </c>
      <c r="I1208" t="s">
        <v>134</v>
      </c>
      <c r="J1208" t="s">
        <v>135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"14:48:03.266"</f>
        <v>14:48:03.266</v>
      </c>
      <c r="T1208" t="str">
        <f>"14:48:00.366"</f>
        <v>14:48:00.366</v>
      </c>
      <c r="U1208" t="str">
        <f t="shared" si="54"/>
        <v>A0F928</v>
      </c>
      <c r="V1208">
        <v>0</v>
      </c>
      <c r="W1208">
        <v>0</v>
      </c>
      <c r="X1208">
        <v>2</v>
      </c>
      <c r="Z1208">
        <v>0</v>
      </c>
      <c r="AA1208">
        <v>9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2</v>
      </c>
      <c r="AH1208">
        <v>1</v>
      </c>
      <c r="AI1208" t="s">
        <v>685</v>
      </c>
      <c r="AJ1208">
        <v>35.830793</v>
      </c>
      <c r="AK1208" t="s">
        <v>686</v>
      </c>
      <c r="AL1208">
        <v>-83.966746000000001</v>
      </c>
      <c r="AM1208">
        <v>25</v>
      </c>
      <c r="AN1208">
        <v>975</v>
      </c>
      <c r="AO1208" t="s">
        <v>118</v>
      </c>
      <c r="AP1208">
        <v>-62</v>
      </c>
      <c r="AQ1208">
        <v>-64</v>
      </c>
      <c r="AR1208">
        <v>-128</v>
      </c>
      <c r="AZ1208">
        <v>300</v>
      </c>
      <c r="BA1208">
        <v>1</v>
      </c>
      <c r="BB1208" t="str">
        <f t="shared" si="56"/>
        <v xml:space="preserve">N162AM  </v>
      </c>
      <c r="BC1208">
        <v>1</v>
      </c>
      <c r="BE1208">
        <v>0</v>
      </c>
      <c r="BF1208">
        <v>0</v>
      </c>
      <c r="BG1208">
        <v>0</v>
      </c>
      <c r="BH1208">
        <v>1225</v>
      </c>
      <c r="BI1208">
        <v>1</v>
      </c>
      <c r="BJ1208">
        <v>1</v>
      </c>
      <c r="BK1208">
        <v>1</v>
      </c>
      <c r="BL1208">
        <v>0</v>
      </c>
      <c r="BO1208">
        <v>0</v>
      </c>
      <c r="BP1208">
        <v>0</v>
      </c>
      <c r="BW1208" t="str">
        <f>"14:48:03.270"</f>
        <v>14:48:03.270</v>
      </c>
      <c r="CJ1208">
        <v>3</v>
      </c>
      <c r="CK1208">
        <v>2</v>
      </c>
      <c r="CL1208">
        <v>0</v>
      </c>
      <c r="CM1208">
        <v>2</v>
      </c>
      <c r="CN1208">
        <v>0</v>
      </c>
      <c r="CO1208">
        <v>2</v>
      </c>
      <c r="CP1208" t="s">
        <v>119</v>
      </c>
      <c r="CQ1208">
        <v>232</v>
      </c>
      <c r="CR1208">
        <v>2</v>
      </c>
      <c r="CW1208">
        <v>6519233</v>
      </c>
      <c r="CY1208">
        <v>1</v>
      </c>
      <c r="CZ1208">
        <v>0</v>
      </c>
      <c r="DA1208">
        <v>1</v>
      </c>
      <c r="DB1208">
        <v>0</v>
      </c>
      <c r="DC1208">
        <v>0</v>
      </c>
      <c r="DD1208">
        <v>1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"12/16/2021 14:48:04.414"</f>
        <v>12/16/2021 14:48:04.414</v>
      </c>
      <c r="C1209" t="str">
        <f t="shared" si="55"/>
        <v>FFDFD3C0</v>
      </c>
      <c r="D1209" t="s">
        <v>133</v>
      </c>
      <c r="E1209">
        <v>44</v>
      </c>
      <c r="H1209">
        <v>131</v>
      </c>
      <c r="I1209" t="s">
        <v>134</v>
      </c>
      <c r="J1209" t="s">
        <v>135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"14:48:04.234"</f>
        <v>14:48:04.234</v>
      </c>
      <c r="T1209" t="str">
        <f>"14:48:00.334"</f>
        <v>14:48:00.334</v>
      </c>
      <c r="U1209" t="str">
        <f t="shared" si="54"/>
        <v>A0F928</v>
      </c>
      <c r="V1209">
        <v>0</v>
      </c>
      <c r="W1209">
        <v>0</v>
      </c>
      <c r="X1209">
        <v>2</v>
      </c>
      <c r="Z1209">
        <v>0</v>
      </c>
      <c r="AA1209">
        <v>9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2</v>
      </c>
      <c r="AH1209">
        <v>1</v>
      </c>
      <c r="AI1209" t="s">
        <v>687</v>
      </c>
      <c r="AJ1209">
        <v>35.830492999999997</v>
      </c>
      <c r="AK1209" t="s">
        <v>688</v>
      </c>
      <c r="AL1209">
        <v>-83.967067999999998</v>
      </c>
      <c r="AM1209">
        <v>25</v>
      </c>
      <c r="AN1209">
        <v>975</v>
      </c>
      <c r="AO1209" t="s">
        <v>118</v>
      </c>
      <c r="AP1209">
        <v>-62</v>
      </c>
      <c r="AQ1209">
        <v>-64</v>
      </c>
      <c r="AR1209">
        <v>-128</v>
      </c>
      <c r="AZ1209">
        <v>300</v>
      </c>
      <c r="BA1209">
        <v>1</v>
      </c>
      <c r="BB1209" t="str">
        <f t="shared" si="56"/>
        <v xml:space="preserve">N162AM  </v>
      </c>
      <c r="BC1209">
        <v>1</v>
      </c>
      <c r="BE1209">
        <v>0</v>
      </c>
      <c r="BF1209">
        <v>0</v>
      </c>
      <c r="BG1209">
        <v>0</v>
      </c>
      <c r="BH1209">
        <v>1225</v>
      </c>
      <c r="BI1209">
        <v>1</v>
      </c>
      <c r="BJ1209">
        <v>1</v>
      </c>
      <c r="BK1209">
        <v>1</v>
      </c>
      <c r="BL1209">
        <v>0</v>
      </c>
      <c r="BO1209">
        <v>0</v>
      </c>
      <c r="BP1209">
        <v>0</v>
      </c>
      <c r="BW1209" t="str">
        <f>"14:48:04.235"</f>
        <v>14:48:04.235</v>
      </c>
      <c r="CJ1209">
        <v>3</v>
      </c>
      <c r="CK1209">
        <v>2</v>
      </c>
      <c r="CL1209">
        <v>0</v>
      </c>
      <c r="CM1209">
        <v>2</v>
      </c>
      <c r="CN1209">
        <v>0</v>
      </c>
      <c r="CO1209">
        <v>1</v>
      </c>
      <c r="CP1209" t="s">
        <v>119</v>
      </c>
      <c r="CQ1209">
        <v>232</v>
      </c>
      <c r="CR1209">
        <v>2</v>
      </c>
      <c r="CW1209">
        <v>6520831</v>
      </c>
      <c r="CY1209">
        <v>1</v>
      </c>
      <c r="CZ1209">
        <v>0</v>
      </c>
      <c r="DA1209">
        <v>0</v>
      </c>
      <c r="DB1209">
        <v>0</v>
      </c>
      <c r="DC1209">
        <v>0</v>
      </c>
      <c r="DD1209">
        <v>1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"12/16/2021 14:48:04.414"</f>
        <v>12/16/2021 14:48:04.414</v>
      </c>
      <c r="C1210" t="str">
        <f t="shared" si="55"/>
        <v>FFDFD3C0</v>
      </c>
      <c r="D1210" t="s">
        <v>113</v>
      </c>
      <c r="E1210">
        <v>8</v>
      </c>
      <c r="H1210">
        <v>176</v>
      </c>
      <c r="I1210" t="s">
        <v>114</v>
      </c>
      <c r="J1210" t="s">
        <v>115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>"14:48:04.234"</f>
        <v>14:48:04.234</v>
      </c>
      <c r="T1210" t="str">
        <f>"14:48:00.334"</f>
        <v>14:48:00.334</v>
      </c>
      <c r="U1210" t="str">
        <f t="shared" si="54"/>
        <v>A0F928</v>
      </c>
      <c r="V1210">
        <v>0</v>
      </c>
      <c r="W1210">
        <v>0</v>
      </c>
      <c r="X1210">
        <v>2</v>
      </c>
      <c r="Z1210">
        <v>0</v>
      </c>
      <c r="AA1210">
        <v>9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2</v>
      </c>
      <c r="AH1210">
        <v>1</v>
      </c>
      <c r="AI1210" t="s">
        <v>687</v>
      </c>
      <c r="AJ1210">
        <v>35.830492999999997</v>
      </c>
      <c r="AK1210" t="s">
        <v>688</v>
      </c>
      <c r="AL1210">
        <v>-83.967067999999998</v>
      </c>
      <c r="AM1210">
        <v>25</v>
      </c>
      <c r="AN1210">
        <v>975</v>
      </c>
      <c r="AO1210" t="s">
        <v>118</v>
      </c>
      <c r="AP1210">
        <v>-62</v>
      </c>
      <c r="AQ1210">
        <v>-64</v>
      </c>
      <c r="AR1210">
        <v>-128</v>
      </c>
      <c r="AZ1210">
        <v>300</v>
      </c>
      <c r="BA1210">
        <v>1</v>
      </c>
      <c r="BB1210" t="str">
        <f t="shared" si="56"/>
        <v xml:space="preserve">N162AM  </v>
      </c>
      <c r="BC1210">
        <v>1</v>
      </c>
      <c r="BE1210">
        <v>0</v>
      </c>
      <c r="BF1210">
        <v>0</v>
      </c>
      <c r="BG1210">
        <v>0</v>
      </c>
      <c r="BH1210">
        <v>1225</v>
      </c>
      <c r="BI1210">
        <v>1</v>
      </c>
      <c r="BJ1210">
        <v>1</v>
      </c>
      <c r="BK1210">
        <v>1</v>
      </c>
      <c r="BL1210">
        <v>0</v>
      </c>
      <c r="BO1210">
        <v>0</v>
      </c>
      <c r="BP1210">
        <v>0</v>
      </c>
      <c r="BW1210" t="str">
        <f>"14:48:04.235"</f>
        <v>14:48:04.235</v>
      </c>
      <c r="CJ1210">
        <v>3</v>
      </c>
      <c r="CK1210">
        <v>2</v>
      </c>
      <c r="CL1210">
        <v>0</v>
      </c>
      <c r="CM1210">
        <v>2</v>
      </c>
      <c r="CN1210">
        <v>0</v>
      </c>
      <c r="CO1210">
        <v>1</v>
      </c>
      <c r="CP1210" t="s">
        <v>119</v>
      </c>
      <c r="CQ1210">
        <v>232</v>
      </c>
      <c r="CR1210">
        <v>2</v>
      </c>
      <c r="CW1210">
        <v>6520831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1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"12/16/2021 14:48:04.461"</f>
        <v>12/16/2021 14:48:04.461</v>
      </c>
      <c r="C1211" t="str">
        <f t="shared" si="55"/>
        <v>FFDFD3C0</v>
      </c>
      <c r="D1211" t="s">
        <v>124</v>
      </c>
      <c r="E1211">
        <v>5</v>
      </c>
      <c r="F1211">
        <v>1005</v>
      </c>
      <c r="G1211" t="s">
        <v>114</v>
      </c>
      <c r="J1211" t="s">
        <v>125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"14:48:04.234"</f>
        <v>14:48:04.234</v>
      </c>
      <c r="T1211" t="str">
        <f>"14:48:00.334"</f>
        <v>14:48:00.334</v>
      </c>
      <c r="U1211" t="str">
        <f t="shared" si="54"/>
        <v>A0F928</v>
      </c>
      <c r="V1211">
        <v>0</v>
      </c>
      <c r="W1211">
        <v>0</v>
      </c>
      <c r="X1211">
        <v>2</v>
      </c>
      <c r="Z1211">
        <v>0</v>
      </c>
      <c r="AA1211">
        <v>9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2</v>
      </c>
      <c r="AH1211">
        <v>1</v>
      </c>
      <c r="AI1211" t="s">
        <v>687</v>
      </c>
      <c r="AJ1211">
        <v>35.830492999999997</v>
      </c>
      <c r="AK1211" t="s">
        <v>688</v>
      </c>
      <c r="AL1211">
        <v>-83.967067999999998</v>
      </c>
      <c r="AM1211">
        <v>25</v>
      </c>
      <c r="AN1211">
        <v>975</v>
      </c>
      <c r="AO1211" t="s">
        <v>118</v>
      </c>
      <c r="AP1211">
        <v>-62</v>
      </c>
      <c r="AQ1211">
        <v>-64</v>
      </c>
      <c r="AR1211">
        <v>-128</v>
      </c>
      <c r="AZ1211">
        <v>300</v>
      </c>
      <c r="BA1211">
        <v>1</v>
      </c>
      <c r="BB1211" t="str">
        <f t="shared" si="56"/>
        <v xml:space="preserve">N162AM  </v>
      </c>
      <c r="BC1211">
        <v>1</v>
      </c>
      <c r="BE1211">
        <v>0</v>
      </c>
      <c r="BF1211">
        <v>0</v>
      </c>
      <c r="BG1211">
        <v>0</v>
      </c>
      <c r="BH1211">
        <v>1225</v>
      </c>
      <c r="BI1211">
        <v>1</v>
      </c>
      <c r="BJ1211">
        <v>1</v>
      </c>
      <c r="BK1211">
        <v>1</v>
      </c>
      <c r="BL1211">
        <v>0</v>
      </c>
      <c r="BO1211">
        <v>0</v>
      </c>
      <c r="BP1211">
        <v>0</v>
      </c>
      <c r="BW1211" t="str">
        <f>"14:48:04.235"</f>
        <v>14:48:04.235</v>
      </c>
      <c r="CJ1211">
        <v>3</v>
      </c>
      <c r="CK1211">
        <v>2</v>
      </c>
      <c r="CL1211">
        <v>0</v>
      </c>
      <c r="CM1211">
        <v>2</v>
      </c>
      <c r="CN1211">
        <v>0</v>
      </c>
      <c r="CO1211">
        <v>1</v>
      </c>
      <c r="CP1211" t="s">
        <v>119</v>
      </c>
      <c r="CQ1211">
        <v>232</v>
      </c>
      <c r="CR1211">
        <v>2</v>
      </c>
      <c r="CW1211">
        <v>6520831</v>
      </c>
      <c r="CY1211">
        <v>1</v>
      </c>
      <c r="CZ1211">
        <v>0</v>
      </c>
      <c r="DA1211">
        <v>1</v>
      </c>
      <c r="DB1211">
        <v>0</v>
      </c>
      <c r="DC1211">
        <v>0</v>
      </c>
      <c r="DD1211">
        <v>1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"12/16/2021 14:48:04.461"</f>
        <v>12/16/2021 14:48:04.461</v>
      </c>
      <c r="C1212" t="str">
        <f t="shared" si="55"/>
        <v>FFDFD3C0</v>
      </c>
      <c r="D1212" t="s">
        <v>124</v>
      </c>
      <c r="E1212">
        <v>10</v>
      </c>
      <c r="F1212">
        <v>1010</v>
      </c>
      <c r="G1212" t="s">
        <v>130</v>
      </c>
      <c r="J1212" t="s">
        <v>125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"14:48:04.234"</f>
        <v>14:48:04.234</v>
      </c>
      <c r="T1212" t="str">
        <f>"14:48:00.334"</f>
        <v>14:48:00.334</v>
      </c>
      <c r="U1212" t="str">
        <f t="shared" si="54"/>
        <v>A0F928</v>
      </c>
      <c r="V1212">
        <v>0</v>
      </c>
      <c r="W1212">
        <v>0</v>
      </c>
      <c r="X1212">
        <v>2</v>
      </c>
      <c r="Z1212">
        <v>0</v>
      </c>
      <c r="AA1212">
        <v>9</v>
      </c>
      <c r="AB1212">
        <v>3</v>
      </c>
      <c r="AC1212">
        <v>0</v>
      </c>
      <c r="AD1212">
        <v>10</v>
      </c>
      <c r="AE1212">
        <v>0</v>
      </c>
      <c r="AF1212">
        <v>0</v>
      </c>
      <c r="AG1212">
        <v>2</v>
      </c>
      <c r="AH1212">
        <v>1</v>
      </c>
      <c r="AI1212" t="s">
        <v>687</v>
      </c>
      <c r="AJ1212">
        <v>35.830492999999997</v>
      </c>
      <c r="AK1212" t="s">
        <v>688</v>
      </c>
      <c r="AL1212">
        <v>-83.967067999999998</v>
      </c>
      <c r="AM1212">
        <v>25</v>
      </c>
      <c r="AN1212">
        <v>975</v>
      </c>
      <c r="AO1212" t="s">
        <v>118</v>
      </c>
      <c r="AP1212">
        <v>-62</v>
      </c>
      <c r="AQ1212">
        <v>-64</v>
      </c>
      <c r="AR1212">
        <v>-128</v>
      </c>
      <c r="AZ1212">
        <v>300</v>
      </c>
      <c r="BA1212">
        <v>1</v>
      </c>
      <c r="BB1212" t="str">
        <f t="shared" si="56"/>
        <v xml:space="preserve">N162AM  </v>
      </c>
      <c r="BC1212">
        <v>1</v>
      </c>
      <c r="BE1212">
        <v>0</v>
      </c>
      <c r="BF1212">
        <v>0</v>
      </c>
      <c r="BG1212">
        <v>0</v>
      </c>
      <c r="BH1212">
        <v>1225</v>
      </c>
      <c r="BI1212">
        <v>1</v>
      </c>
      <c r="BJ1212">
        <v>1</v>
      </c>
      <c r="BK1212">
        <v>1</v>
      </c>
      <c r="BL1212">
        <v>0</v>
      </c>
      <c r="BO1212">
        <v>0</v>
      </c>
      <c r="BP1212">
        <v>0</v>
      </c>
      <c r="BW1212" t="str">
        <f>"14:48:04.235"</f>
        <v>14:48:04.235</v>
      </c>
      <c r="CJ1212">
        <v>2</v>
      </c>
      <c r="CK1212">
        <v>2</v>
      </c>
      <c r="CL1212">
        <v>0</v>
      </c>
      <c r="CM1212">
        <v>2</v>
      </c>
      <c r="CN1212">
        <v>0</v>
      </c>
      <c r="CO1212">
        <v>1</v>
      </c>
      <c r="CP1212" t="s">
        <v>119</v>
      </c>
      <c r="CQ1212">
        <v>232</v>
      </c>
      <c r="CR1212">
        <v>2</v>
      </c>
      <c r="CW1212">
        <v>6520831</v>
      </c>
      <c r="CY1212">
        <v>1</v>
      </c>
      <c r="CZ1212">
        <v>0</v>
      </c>
      <c r="DA1212">
        <v>1</v>
      </c>
      <c r="DB1212">
        <v>0</v>
      </c>
      <c r="DC1212">
        <v>0</v>
      </c>
      <c r="DD1212">
        <v>1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"12/16/2021 14:48:06.460"</f>
        <v>12/16/2021 14:48:06.460</v>
      </c>
      <c r="C1213" t="str">
        <f t="shared" si="55"/>
        <v>FFDFD3C0</v>
      </c>
      <c r="D1213" t="s">
        <v>133</v>
      </c>
      <c r="E1213">
        <v>44</v>
      </c>
      <c r="H1213">
        <v>131</v>
      </c>
      <c r="I1213" t="s">
        <v>134</v>
      </c>
      <c r="J1213" t="s">
        <v>135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>"14:48:06.148"</f>
        <v>14:48:06.148</v>
      </c>
      <c r="T1213" t="str">
        <f>"14:48:04.848"</f>
        <v>14:48:04.848</v>
      </c>
      <c r="U1213" t="str">
        <f t="shared" si="54"/>
        <v>A0F928</v>
      </c>
      <c r="V1213">
        <v>0</v>
      </c>
      <c r="W1213">
        <v>0</v>
      </c>
      <c r="X1213">
        <v>2</v>
      </c>
      <c r="Z1213">
        <v>0</v>
      </c>
      <c r="AA1213">
        <v>9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2</v>
      </c>
      <c r="AH1213">
        <v>1</v>
      </c>
      <c r="AI1213" t="s">
        <v>689</v>
      </c>
      <c r="AJ1213">
        <v>35.829892000000001</v>
      </c>
      <c r="AK1213" t="s">
        <v>690</v>
      </c>
      <c r="AL1213">
        <v>-83.967754999999997</v>
      </c>
      <c r="AM1213">
        <v>25</v>
      </c>
      <c r="AN1213">
        <v>975</v>
      </c>
      <c r="AO1213" t="s">
        <v>118</v>
      </c>
      <c r="AP1213">
        <v>-60</v>
      </c>
      <c r="AQ1213">
        <v>-65</v>
      </c>
      <c r="AR1213">
        <v>-128</v>
      </c>
      <c r="AZ1213">
        <v>300</v>
      </c>
      <c r="BA1213">
        <v>1</v>
      </c>
      <c r="BB1213" t="str">
        <f t="shared" si="56"/>
        <v xml:space="preserve">N162AM  </v>
      </c>
      <c r="BC1213">
        <v>1</v>
      </c>
      <c r="BE1213">
        <v>0</v>
      </c>
      <c r="BF1213">
        <v>0</v>
      </c>
      <c r="BG1213">
        <v>0</v>
      </c>
      <c r="BH1213">
        <v>1225</v>
      </c>
      <c r="BI1213">
        <v>1</v>
      </c>
      <c r="BJ1213">
        <v>1</v>
      </c>
      <c r="BK1213">
        <v>1</v>
      </c>
      <c r="BL1213">
        <v>0</v>
      </c>
      <c r="BO1213">
        <v>0</v>
      </c>
      <c r="BP1213">
        <v>0</v>
      </c>
      <c r="BW1213" t="str">
        <f>"14:48:06.154"</f>
        <v>14:48:06.154</v>
      </c>
      <c r="CJ1213">
        <v>3</v>
      </c>
      <c r="CK1213">
        <v>2</v>
      </c>
      <c r="CL1213">
        <v>0</v>
      </c>
      <c r="CM1213">
        <v>2</v>
      </c>
      <c r="CN1213">
        <v>0</v>
      </c>
      <c r="CO1213">
        <v>2</v>
      </c>
      <c r="CP1213" t="s">
        <v>119</v>
      </c>
      <c r="CQ1213">
        <v>232</v>
      </c>
      <c r="CR1213">
        <v>1</v>
      </c>
      <c r="CW1213">
        <v>15328465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1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"12/16/2021 14:48:06.460"</f>
        <v>12/16/2021 14:48:06.460</v>
      </c>
      <c r="C1214" t="str">
        <f t="shared" si="55"/>
        <v>FFDFD3C0</v>
      </c>
      <c r="D1214" t="s">
        <v>113</v>
      </c>
      <c r="E1214">
        <v>8</v>
      </c>
      <c r="H1214">
        <v>176</v>
      </c>
      <c r="I1214" t="s">
        <v>114</v>
      </c>
      <c r="J1214" t="s">
        <v>115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>"14:48:06.148"</f>
        <v>14:48:06.148</v>
      </c>
      <c r="T1214" t="str">
        <f>"14:48:04.848"</f>
        <v>14:48:04.848</v>
      </c>
      <c r="U1214" t="str">
        <f t="shared" si="54"/>
        <v>A0F928</v>
      </c>
      <c r="V1214">
        <v>0</v>
      </c>
      <c r="W1214">
        <v>0</v>
      </c>
      <c r="X1214">
        <v>2</v>
      </c>
      <c r="Z1214">
        <v>0</v>
      </c>
      <c r="AA1214">
        <v>9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2</v>
      </c>
      <c r="AH1214">
        <v>1</v>
      </c>
      <c r="AI1214" t="s">
        <v>689</v>
      </c>
      <c r="AJ1214">
        <v>35.829892000000001</v>
      </c>
      <c r="AK1214" t="s">
        <v>690</v>
      </c>
      <c r="AL1214">
        <v>-83.967754999999997</v>
      </c>
      <c r="AM1214">
        <v>25</v>
      </c>
      <c r="AN1214">
        <v>975</v>
      </c>
      <c r="AO1214" t="s">
        <v>118</v>
      </c>
      <c r="AP1214">
        <v>-60</v>
      </c>
      <c r="AQ1214">
        <v>-65</v>
      </c>
      <c r="AR1214">
        <v>-128</v>
      </c>
      <c r="AZ1214">
        <v>300</v>
      </c>
      <c r="BA1214">
        <v>1</v>
      </c>
      <c r="BB1214" t="str">
        <f t="shared" si="56"/>
        <v xml:space="preserve">N162AM  </v>
      </c>
      <c r="BC1214">
        <v>1</v>
      </c>
      <c r="BE1214">
        <v>0</v>
      </c>
      <c r="BF1214">
        <v>0</v>
      </c>
      <c r="BG1214">
        <v>0</v>
      </c>
      <c r="BH1214">
        <v>1225</v>
      </c>
      <c r="BI1214">
        <v>1</v>
      </c>
      <c r="BJ1214">
        <v>1</v>
      </c>
      <c r="BK1214">
        <v>1</v>
      </c>
      <c r="BL1214">
        <v>0</v>
      </c>
      <c r="BO1214">
        <v>0</v>
      </c>
      <c r="BP1214">
        <v>0</v>
      </c>
      <c r="BW1214" t="str">
        <f>"14:48:06.154"</f>
        <v>14:48:06.154</v>
      </c>
      <c r="CJ1214">
        <v>3</v>
      </c>
      <c r="CK1214">
        <v>2</v>
      </c>
      <c r="CL1214">
        <v>0</v>
      </c>
      <c r="CM1214">
        <v>2</v>
      </c>
      <c r="CN1214">
        <v>0</v>
      </c>
      <c r="CO1214">
        <v>2</v>
      </c>
      <c r="CP1214" t="s">
        <v>119</v>
      </c>
      <c r="CQ1214">
        <v>232</v>
      </c>
      <c r="CR1214">
        <v>1</v>
      </c>
      <c r="CW1214">
        <v>15328465</v>
      </c>
      <c r="CY1214">
        <v>0</v>
      </c>
      <c r="CZ1214">
        <v>0</v>
      </c>
      <c r="DA1214">
        <v>1</v>
      </c>
      <c r="DB1214">
        <v>0</v>
      </c>
      <c r="DC1214">
        <v>0</v>
      </c>
      <c r="DD1214">
        <v>1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"12/16/2021 14:48:06.460"</f>
        <v>12/16/2021 14:48:06.460</v>
      </c>
      <c r="C1215" t="str">
        <f t="shared" si="55"/>
        <v>FFDFD3C0</v>
      </c>
      <c r="D1215" t="s">
        <v>124</v>
      </c>
      <c r="E1215">
        <v>10</v>
      </c>
      <c r="F1215">
        <v>1010</v>
      </c>
      <c r="G1215" t="s">
        <v>130</v>
      </c>
      <c r="J1215" t="s">
        <v>125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"14:48:06.148"</f>
        <v>14:48:06.148</v>
      </c>
      <c r="T1215" t="str">
        <f>"14:48:04.848"</f>
        <v>14:48:04.848</v>
      </c>
      <c r="U1215" t="str">
        <f t="shared" si="54"/>
        <v>A0F928</v>
      </c>
      <c r="V1215">
        <v>0</v>
      </c>
      <c r="W1215">
        <v>0</v>
      </c>
      <c r="X1215">
        <v>2</v>
      </c>
      <c r="Z1215">
        <v>0</v>
      </c>
      <c r="AA1215">
        <v>9</v>
      </c>
      <c r="AB1215">
        <v>3</v>
      </c>
      <c r="AC1215">
        <v>0</v>
      </c>
      <c r="AD1215">
        <v>10</v>
      </c>
      <c r="AE1215">
        <v>0</v>
      </c>
      <c r="AF1215">
        <v>0</v>
      </c>
      <c r="AG1215">
        <v>2</v>
      </c>
      <c r="AH1215">
        <v>1</v>
      </c>
      <c r="AI1215" t="s">
        <v>689</v>
      </c>
      <c r="AJ1215">
        <v>35.829892000000001</v>
      </c>
      <c r="AK1215" t="s">
        <v>690</v>
      </c>
      <c r="AL1215">
        <v>-83.967754999999997</v>
      </c>
      <c r="AM1215">
        <v>25</v>
      </c>
      <c r="AN1215">
        <v>975</v>
      </c>
      <c r="AO1215" t="s">
        <v>118</v>
      </c>
      <c r="AP1215">
        <v>-60</v>
      </c>
      <c r="AQ1215">
        <v>-65</v>
      </c>
      <c r="AR1215">
        <v>-128</v>
      </c>
      <c r="AZ1215">
        <v>300</v>
      </c>
      <c r="BA1215">
        <v>1</v>
      </c>
      <c r="BB1215" t="str">
        <f t="shared" si="56"/>
        <v xml:space="preserve">N162AM  </v>
      </c>
      <c r="BC1215">
        <v>1</v>
      </c>
      <c r="BE1215">
        <v>0</v>
      </c>
      <c r="BF1215">
        <v>0</v>
      </c>
      <c r="BG1215">
        <v>0</v>
      </c>
      <c r="BH1215">
        <v>1225</v>
      </c>
      <c r="BI1215">
        <v>1</v>
      </c>
      <c r="BJ1215">
        <v>1</v>
      </c>
      <c r="BK1215">
        <v>1</v>
      </c>
      <c r="BL1215">
        <v>0</v>
      </c>
      <c r="BO1215">
        <v>0</v>
      </c>
      <c r="BP1215">
        <v>0</v>
      </c>
      <c r="BW1215" t="str">
        <f>"14:48:06.154"</f>
        <v>14:48:06.154</v>
      </c>
      <c r="CJ1215">
        <v>2</v>
      </c>
      <c r="CK1215">
        <v>2</v>
      </c>
      <c r="CL1215">
        <v>0</v>
      </c>
      <c r="CM1215">
        <v>2</v>
      </c>
      <c r="CN1215">
        <v>0</v>
      </c>
      <c r="CO1215">
        <v>2</v>
      </c>
      <c r="CP1215" t="s">
        <v>119</v>
      </c>
      <c r="CQ1215">
        <v>232</v>
      </c>
      <c r="CR1215">
        <v>1</v>
      </c>
      <c r="CW1215">
        <v>15328465</v>
      </c>
      <c r="CY1215">
        <v>0</v>
      </c>
      <c r="CZ1215">
        <v>0</v>
      </c>
      <c r="DA1215">
        <v>1</v>
      </c>
      <c r="DB1215">
        <v>0</v>
      </c>
      <c r="DC1215">
        <v>0</v>
      </c>
      <c r="DD1215">
        <v>1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"12/16/2021 14:48:06.460"</f>
        <v>12/16/2021 14:48:06.460</v>
      </c>
      <c r="C1216" t="str">
        <f t="shared" si="55"/>
        <v>FFDFD3C0</v>
      </c>
      <c r="D1216" t="s">
        <v>124</v>
      </c>
      <c r="E1216">
        <v>5</v>
      </c>
      <c r="F1216">
        <v>1005</v>
      </c>
      <c r="G1216" t="s">
        <v>114</v>
      </c>
      <c r="J1216" t="s">
        <v>125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"14:48:06.148"</f>
        <v>14:48:06.148</v>
      </c>
      <c r="T1216" t="str">
        <f>"14:48:04.848"</f>
        <v>14:48:04.848</v>
      </c>
      <c r="U1216" t="str">
        <f t="shared" si="54"/>
        <v>A0F928</v>
      </c>
      <c r="V1216">
        <v>0</v>
      </c>
      <c r="W1216">
        <v>0</v>
      </c>
      <c r="X1216">
        <v>2</v>
      </c>
      <c r="Z1216">
        <v>0</v>
      </c>
      <c r="AA1216">
        <v>9</v>
      </c>
      <c r="AB1216">
        <v>3</v>
      </c>
      <c r="AC1216">
        <v>0</v>
      </c>
      <c r="AD1216">
        <v>10</v>
      </c>
      <c r="AE1216">
        <v>0</v>
      </c>
      <c r="AF1216">
        <v>3</v>
      </c>
      <c r="AG1216">
        <v>2</v>
      </c>
      <c r="AH1216">
        <v>1</v>
      </c>
      <c r="AI1216" t="s">
        <v>689</v>
      </c>
      <c r="AJ1216">
        <v>35.829892000000001</v>
      </c>
      <c r="AK1216" t="s">
        <v>690</v>
      </c>
      <c r="AL1216">
        <v>-83.967754999999997</v>
      </c>
      <c r="AM1216">
        <v>25</v>
      </c>
      <c r="AN1216">
        <v>975</v>
      </c>
      <c r="AO1216" t="s">
        <v>118</v>
      </c>
      <c r="AP1216">
        <v>-60</v>
      </c>
      <c r="AQ1216">
        <v>-65</v>
      </c>
      <c r="AR1216">
        <v>-128</v>
      </c>
      <c r="AZ1216">
        <v>300</v>
      </c>
      <c r="BA1216">
        <v>1</v>
      </c>
      <c r="BB1216" t="str">
        <f t="shared" si="56"/>
        <v xml:space="preserve">N162AM  </v>
      </c>
      <c r="BC1216">
        <v>1</v>
      </c>
      <c r="BE1216">
        <v>0</v>
      </c>
      <c r="BF1216">
        <v>0</v>
      </c>
      <c r="BG1216">
        <v>0</v>
      </c>
      <c r="BH1216">
        <v>1225</v>
      </c>
      <c r="BI1216">
        <v>1</v>
      </c>
      <c r="BJ1216">
        <v>1</v>
      </c>
      <c r="BK1216">
        <v>1</v>
      </c>
      <c r="BL1216">
        <v>0</v>
      </c>
      <c r="BO1216">
        <v>0</v>
      </c>
      <c r="BP1216">
        <v>0</v>
      </c>
      <c r="BW1216" t="str">
        <f>"14:48:06.154"</f>
        <v>14:48:06.154</v>
      </c>
      <c r="CJ1216">
        <v>3</v>
      </c>
      <c r="CK1216">
        <v>2</v>
      </c>
      <c r="CL1216">
        <v>0</v>
      </c>
      <c r="CM1216">
        <v>2</v>
      </c>
      <c r="CN1216">
        <v>0</v>
      </c>
      <c r="CO1216">
        <v>2</v>
      </c>
      <c r="CP1216" t="s">
        <v>119</v>
      </c>
      <c r="CQ1216">
        <v>232</v>
      </c>
      <c r="CR1216">
        <v>1</v>
      </c>
      <c r="CW1216">
        <v>15328465</v>
      </c>
      <c r="CY1216">
        <v>0</v>
      </c>
      <c r="CZ1216">
        <v>0</v>
      </c>
      <c r="DA1216">
        <v>1</v>
      </c>
      <c r="DB1216">
        <v>0</v>
      </c>
      <c r="DC1216">
        <v>0</v>
      </c>
      <c r="DD1216">
        <v>1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"12/16/2021 14:48:07.835"</f>
        <v>12/16/2021 14:48:07.835</v>
      </c>
      <c r="C1217" t="str">
        <f t="shared" si="55"/>
        <v>FFDFD3C0</v>
      </c>
      <c r="D1217" t="s">
        <v>113</v>
      </c>
      <c r="E1217">
        <v>8</v>
      </c>
      <c r="H1217">
        <v>176</v>
      </c>
      <c r="I1217" t="s">
        <v>114</v>
      </c>
      <c r="J1217" t="s">
        <v>115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"14:48:07.602"</f>
        <v>14:48:07.602</v>
      </c>
      <c r="T1217" t="str">
        <f>"14:48:00.302"</f>
        <v>14:48:00.302</v>
      </c>
      <c r="U1217" t="str">
        <f t="shared" si="54"/>
        <v>A0F928</v>
      </c>
      <c r="V1217">
        <v>0</v>
      </c>
      <c r="W1217">
        <v>0</v>
      </c>
      <c r="X1217">
        <v>2</v>
      </c>
      <c r="Z1217">
        <v>0</v>
      </c>
      <c r="AA1217">
        <v>9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2</v>
      </c>
      <c r="AH1217">
        <v>1</v>
      </c>
      <c r="AI1217" t="s">
        <v>691</v>
      </c>
      <c r="AJ1217">
        <v>35.829484000000001</v>
      </c>
      <c r="AK1217" t="s">
        <v>692</v>
      </c>
      <c r="AL1217">
        <v>-83.968226999999999</v>
      </c>
      <c r="AM1217">
        <v>25</v>
      </c>
      <c r="AN1217">
        <v>950</v>
      </c>
      <c r="AO1217" t="s">
        <v>118</v>
      </c>
      <c r="AP1217">
        <v>-62</v>
      </c>
      <c r="AQ1217">
        <v>-64</v>
      </c>
      <c r="AR1217">
        <v>-128</v>
      </c>
      <c r="AZ1217">
        <v>300</v>
      </c>
      <c r="BA1217">
        <v>1</v>
      </c>
      <c r="BB1217" t="str">
        <f t="shared" si="56"/>
        <v xml:space="preserve">N162AM  </v>
      </c>
      <c r="BC1217">
        <v>1</v>
      </c>
      <c r="BE1217">
        <v>0</v>
      </c>
      <c r="BF1217">
        <v>0</v>
      </c>
      <c r="BG1217">
        <v>0</v>
      </c>
      <c r="BH1217">
        <v>1225</v>
      </c>
      <c r="BI1217">
        <v>1</v>
      </c>
      <c r="BJ1217">
        <v>1</v>
      </c>
      <c r="BK1217">
        <v>1</v>
      </c>
      <c r="BL1217">
        <v>0</v>
      </c>
      <c r="BO1217">
        <v>0</v>
      </c>
      <c r="BP1217">
        <v>0</v>
      </c>
      <c r="BW1217" t="str">
        <f>"14:48:07.602"</f>
        <v>14:48:07.602</v>
      </c>
      <c r="CJ1217">
        <v>3</v>
      </c>
      <c r="CK1217">
        <v>2</v>
      </c>
      <c r="CL1217">
        <v>0</v>
      </c>
      <c r="CM1217">
        <v>2</v>
      </c>
      <c r="CN1217">
        <v>0</v>
      </c>
      <c r="CO1217">
        <v>1</v>
      </c>
      <c r="CP1217" t="s">
        <v>119</v>
      </c>
      <c r="CQ1217">
        <v>232</v>
      </c>
      <c r="CR1217">
        <v>2</v>
      </c>
      <c r="CW1217">
        <v>6526167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1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"12/16/2021 14:48:07.835"</f>
        <v>12/16/2021 14:48:07.835</v>
      </c>
      <c r="C1218" t="str">
        <f t="shared" si="55"/>
        <v>FFDFD3C0</v>
      </c>
      <c r="D1218" t="s">
        <v>133</v>
      </c>
      <c r="E1218">
        <v>44</v>
      </c>
      <c r="H1218">
        <v>131</v>
      </c>
      <c r="I1218" t="s">
        <v>134</v>
      </c>
      <c r="J1218" t="s">
        <v>135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"14:48:07.602"</f>
        <v>14:48:07.602</v>
      </c>
      <c r="T1218" t="str">
        <f>"14:48:00.302"</f>
        <v>14:48:00.302</v>
      </c>
      <c r="U1218" t="str">
        <f t="shared" ref="U1218:U1281" si="57">"A0F928"</f>
        <v>A0F928</v>
      </c>
      <c r="V1218">
        <v>0</v>
      </c>
      <c r="W1218">
        <v>0</v>
      </c>
      <c r="X1218">
        <v>2</v>
      </c>
      <c r="Z1218">
        <v>0</v>
      </c>
      <c r="AA1218">
        <v>9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2</v>
      </c>
      <c r="AH1218">
        <v>1</v>
      </c>
      <c r="AI1218" t="s">
        <v>691</v>
      </c>
      <c r="AJ1218">
        <v>35.829484000000001</v>
      </c>
      <c r="AK1218" t="s">
        <v>692</v>
      </c>
      <c r="AL1218">
        <v>-83.968226999999999</v>
      </c>
      <c r="AM1218">
        <v>25</v>
      </c>
      <c r="AN1218">
        <v>950</v>
      </c>
      <c r="AO1218" t="s">
        <v>118</v>
      </c>
      <c r="AP1218">
        <v>-62</v>
      </c>
      <c r="AQ1218">
        <v>-64</v>
      </c>
      <c r="AR1218">
        <v>-128</v>
      </c>
      <c r="AZ1218">
        <v>300</v>
      </c>
      <c r="BA1218">
        <v>1</v>
      </c>
      <c r="BB1218" t="str">
        <f t="shared" si="56"/>
        <v xml:space="preserve">N162AM  </v>
      </c>
      <c r="BC1218">
        <v>1</v>
      </c>
      <c r="BE1218">
        <v>0</v>
      </c>
      <c r="BF1218">
        <v>0</v>
      </c>
      <c r="BG1218">
        <v>0</v>
      </c>
      <c r="BH1218">
        <v>1225</v>
      </c>
      <c r="BI1218">
        <v>1</v>
      </c>
      <c r="BJ1218">
        <v>1</v>
      </c>
      <c r="BK1218">
        <v>1</v>
      </c>
      <c r="BL1218">
        <v>0</v>
      </c>
      <c r="BO1218">
        <v>0</v>
      </c>
      <c r="BP1218">
        <v>0</v>
      </c>
      <c r="BW1218" t="str">
        <f>"14:48:07.602"</f>
        <v>14:48:07.602</v>
      </c>
      <c r="CJ1218">
        <v>3</v>
      </c>
      <c r="CK1218">
        <v>2</v>
      </c>
      <c r="CL1218">
        <v>0</v>
      </c>
      <c r="CM1218">
        <v>2</v>
      </c>
      <c r="CN1218">
        <v>0</v>
      </c>
      <c r="CO1218">
        <v>1</v>
      </c>
      <c r="CP1218" t="s">
        <v>119</v>
      </c>
      <c r="CQ1218">
        <v>232</v>
      </c>
      <c r="CR1218">
        <v>2</v>
      </c>
      <c r="CW1218">
        <v>6526167</v>
      </c>
      <c r="CY1218">
        <v>0</v>
      </c>
      <c r="CZ1218">
        <v>0</v>
      </c>
      <c r="DA1218">
        <v>1</v>
      </c>
      <c r="DB1218">
        <v>0</v>
      </c>
      <c r="DC1218">
        <v>0</v>
      </c>
      <c r="DD1218">
        <v>1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"12/16/2021 14:48:07.835"</f>
        <v>12/16/2021 14:48:07.835</v>
      </c>
      <c r="C1219" t="str">
        <f t="shared" si="55"/>
        <v>FFDFD3C0</v>
      </c>
      <c r="D1219" t="s">
        <v>124</v>
      </c>
      <c r="E1219">
        <v>5</v>
      </c>
      <c r="F1219">
        <v>1005</v>
      </c>
      <c r="G1219" t="s">
        <v>114</v>
      </c>
      <c r="J1219" t="s">
        <v>125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"14:48:07.602"</f>
        <v>14:48:07.602</v>
      </c>
      <c r="T1219" t="str">
        <f>"14:48:00.302"</f>
        <v>14:48:00.302</v>
      </c>
      <c r="U1219" t="str">
        <f t="shared" si="57"/>
        <v>A0F928</v>
      </c>
      <c r="V1219">
        <v>0</v>
      </c>
      <c r="W1219">
        <v>0</v>
      </c>
      <c r="X1219">
        <v>2</v>
      </c>
      <c r="Z1219">
        <v>0</v>
      </c>
      <c r="AA1219">
        <v>9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2</v>
      </c>
      <c r="AH1219">
        <v>1</v>
      </c>
      <c r="AI1219" t="s">
        <v>691</v>
      </c>
      <c r="AJ1219">
        <v>35.829484000000001</v>
      </c>
      <c r="AK1219" t="s">
        <v>692</v>
      </c>
      <c r="AL1219">
        <v>-83.968226999999999</v>
      </c>
      <c r="AM1219">
        <v>25</v>
      </c>
      <c r="AN1219">
        <v>950</v>
      </c>
      <c r="AO1219" t="s">
        <v>118</v>
      </c>
      <c r="AP1219">
        <v>-62</v>
      </c>
      <c r="AQ1219">
        <v>-64</v>
      </c>
      <c r="AR1219">
        <v>-128</v>
      </c>
      <c r="AZ1219">
        <v>300</v>
      </c>
      <c r="BA1219">
        <v>1</v>
      </c>
      <c r="BB1219" t="str">
        <f t="shared" si="56"/>
        <v xml:space="preserve">N162AM  </v>
      </c>
      <c r="BC1219">
        <v>1</v>
      </c>
      <c r="BE1219">
        <v>0</v>
      </c>
      <c r="BF1219">
        <v>0</v>
      </c>
      <c r="BG1219">
        <v>0</v>
      </c>
      <c r="BH1219">
        <v>1225</v>
      </c>
      <c r="BI1219">
        <v>1</v>
      </c>
      <c r="BJ1219">
        <v>1</v>
      </c>
      <c r="BK1219">
        <v>1</v>
      </c>
      <c r="BL1219">
        <v>0</v>
      </c>
      <c r="BO1219">
        <v>0</v>
      </c>
      <c r="BP1219">
        <v>0</v>
      </c>
      <c r="BW1219" t="str">
        <f>"14:48:07.602"</f>
        <v>14:48:07.602</v>
      </c>
      <c r="CJ1219">
        <v>3</v>
      </c>
      <c r="CK1219">
        <v>2</v>
      </c>
      <c r="CL1219">
        <v>0</v>
      </c>
      <c r="CM1219">
        <v>2</v>
      </c>
      <c r="CN1219">
        <v>0</v>
      </c>
      <c r="CO1219">
        <v>1</v>
      </c>
      <c r="CP1219" t="s">
        <v>119</v>
      </c>
      <c r="CQ1219">
        <v>232</v>
      </c>
      <c r="CR1219">
        <v>2</v>
      </c>
      <c r="CW1219">
        <v>6526167</v>
      </c>
      <c r="CY1219">
        <v>0</v>
      </c>
      <c r="CZ1219">
        <v>0</v>
      </c>
      <c r="DA1219">
        <v>1</v>
      </c>
      <c r="DB1219">
        <v>0</v>
      </c>
      <c r="DC1219">
        <v>0</v>
      </c>
      <c r="DD1219">
        <v>1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"12/16/2021 14:48:07.835"</f>
        <v>12/16/2021 14:48:07.835</v>
      </c>
      <c r="C1220" t="str">
        <f t="shared" si="55"/>
        <v>FFDFD3C0</v>
      </c>
      <c r="D1220" t="s">
        <v>124</v>
      </c>
      <c r="E1220">
        <v>10</v>
      </c>
      <c r="F1220">
        <v>1010</v>
      </c>
      <c r="G1220" t="s">
        <v>130</v>
      </c>
      <c r="J1220" t="s">
        <v>125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"14:48:07.602"</f>
        <v>14:48:07.602</v>
      </c>
      <c r="T1220" t="str">
        <f>"14:48:00.302"</f>
        <v>14:48:00.302</v>
      </c>
      <c r="U1220" t="str">
        <f t="shared" si="57"/>
        <v>A0F928</v>
      </c>
      <c r="V1220">
        <v>0</v>
      </c>
      <c r="W1220">
        <v>0</v>
      </c>
      <c r="X1220">
        <v>2</v>
      </c>
      <c r="Z1220">
        <v>0</v>
      </c>
      <c r="AA1220">
        <v>9</v>
      </c>
      <c r="AB1220">
        <v>3</v>
      </c>
      <c r="AC1220">
        <v>0</v>
      </c>
      <c r="AD1220">
        <v>10</v>
      </c>
      <c r="AE1220">
        <v>0</v>
      </c>
      <c r="AF1220">
        <v>0</v>
      </c>
      <c r="AG1220">
        <v>2</v>
      </c>
      <c r="AH1220">
        <v>1</v>
      </c>
      <c r="AI1220" t="s">
        <v>691</v>
      </c>
      <c r="AJ1220">
        <v>35.829484000000001</v>
      </c>
      <c r="AK1220" t="s">
        <v>692</v>
      </c>
      <c r="AL1220">
        <v>-83.968226999999999</v>
      </c>
      <c r="AM1220">
        <v>25</v>
      </c>
      <c r="AN1220">
        <v>950</v>
      </c>
      <c r="AO1220" t="s">
        <v>118</v>
      </c>
      <c r="AP1220">
        <v>-62</v>
      </c>
      <c r="AQ1220">
        <v>-64</v>
      </c>
      <c r="AR1220">
        <v>-128</v>
      </c>
      <c r="AZ1220">
        <v>300</v>
      </c>
      <c r="BA1220">
        <v>1</v>
      </c>
      <c r="BB1220" t="str">
        <f t="shared" si="56"/>
        <v xml:space="preserve">N162AM  </v>
      </c>
      <c r="BC1220">
        <v>1</v>
      </c>
      <c r="BE1220">
        <v>0</v>
      </c>
      <c r="BF1220">
        <v>0</v>
      </c>
      <c r="BG1220">
        <v>0</v>
      </c>
      <c r="BH1220">
        <v>1225</v>
      </c>
      <c r="BI1220">
        <v>1</v>
      </c>
      <c r="BJ1220">
        <v>1</v>
      </c>
      <c r="BK1220">
        <v>1</v>
      </c>
      <c r="BL1220">
        <v>0</v>
      </c>
      <c r="BO1220">
        <v>0</v>
      </c>
      <c r="BP1220">
        <v>0</v>
      </c>
      <c r="BW1220" t="str">
        <f>"14:48:07.602"</f>
        <v>14:48:07.602</v>
      </c>
      <c r="CJ1220">
        <v>2</v>
      </c>
      <c r="CK1220">
        <v>2</v>
      </c>
      <c r="CL1220">
        <v>0</v>
      </c>
      <c r="CM1220">
        <v>2</v>
      </c>
      <c r="CN1220">
        <v>0</v>
      </c>
      <c r="CO1220">
        <v>1</v>
      </c>
      <c r="CP1220" t="s">
        <v>119</v>
      </c>
      <c r="CQ1220">
        <v>232</v>
      </c>
      <c r="CR1220">
        <v>2</v>
      </c>
      <c r="CW1220">
        <v>6526167</v>
      </c>
      <c r="CY1220">
        <v>0</v>
      </c>
      <c r="CZ1220">
        <v>0</v>
      </c>
      <c r="DA1220">
        <v>1</v>
      </c>
      <c r="DB1220">
        <v>0</v>
      </c>
      <c r="DC1220">
        <v>0</v>
      </c>
      <c r="DD1220">
        <v>1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"12/16/2021 14:48:10.881"</f>
        <v>12/16/2021 14:48:10.881</v>
      </c>
      <c r="C1221" t="str">
        <f t="shared" si="55"/>
        <v>FFDFD3C0</v>
      </c>
      <c r="D1221" t="s">
        <v>113</v>
      </c>
      <c r="E1221">
        <v>8</v>
      </c>
      <c r="H1221">
        <v>176</v>
      </c>
      <c r="I1221" t="s">
        <v>114</v>
      </c>
      <c r="J1221" t="s">
        <v>115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"14:48:10.664"</f>
        <v>14:48:10.664</v>
      </c>
      <c r="T1221" t="str">
        <f>"14:48:07.664"</f>
        <v>14:48:07.664</v>
      </c>
      <c r="U1221" t="str">
        <f t="shared" si="57"/>
        <v>A0F928</v>
      </c>
      <c r="V1221">
        <v>0</v>
      </c>
      <c r="W1221">
        <v>0</v>
      </c>
      <c r="X1221">
        <v>2</v>
      </c>
      <c r="Z1221">
        <v>0</v>
      </c>
      <c r="AA1221">
        <v>9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2</v>
      </c>
      <c r="AH1221">
        <v>1</v>
      </c>
      <c r="AI1221" t="s">
        <v>693</v>
      </c>
      <c r="AJ1221">
        <v>35.828561999999998</v>
      </c>
      <c r="AK1221" t="s">
        <v>694</v>
      </c>
      <c r="AL1221">
        <v>-83.969320999999994</v>
      </c>
      <c r="AM1221">
        <v>25</v>
      </c>
      <c r="AN1221">
        <v>950</v>
      </c>
      <c r="AO1221" t="s">
        <v>118</v>
      </c>
      <c r="AP1221">
        <v>-60</v>
      </c>
      <c r="AQ1221">
        <v>-64</v>
      </c>
      <c r="AR1221">
        <v>-192</v>
      </c>
      <c r="AZ1221">
        <v>300</v>
      </c>
      <c r="BA1221">
        <v>1</v>
      </c>
      <c r="BB1221" t="str">
        <f t="shared" si="56"/>
        <v xml:space="preserve">N162AM  </v>
      </c>
      <c r="BC1221">
        <v>1</v>
      </c>
      <c r="BE1221">
        <v>0</v>
      </c>
      <c r="BF1221">
        <v>0</v>
      </c>
      <c r="BG1221">
        <v>0</v>
      </c>
      <c r="BH1221">
        <v>1225</v>
      </c>
      <c r="BI1221">
        <v>1</v>
      </c>
      <c r="BJ1221">
        <v>1</v>
      </c>
      <c r="BK1221">
        <v>1</v>
      </c>
      <c r="BL1221">
        <v>0</v>
      </c>
      <c r="BO1221">
        <v>0</v>
      </c>
      <c r="BP1221">
        <v>0</v>
      </c>
      <c r="BW1221" t="str">
        <f>"14:48:10.668"</f>
        <v>14:48:10.668</v>
      </c>
      <c r="CJ1221">
        <v>3</v>
      </c>
      <c r="CK1221">
        <v>2</v>
      </c>
      <c r="CL1221">
        <v>0</v>
      </c>
      <c r="CM1221">
        <v>2</v>
      </c>
      <c r="CN1221">
        <v>0</v>
      </c>
      <c r="CO1221">
        <v>1</v>
      </c>
      <c r="CP1221" t="s">
        <v>119</v>
      </c>
      <c r="CQ1221">
        <v>232</v>
      </c>
      <c r="CR1221">
        <v>1</v>
      </c>
      <c r="CW1221">
        <v>15335178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1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"12/16/2021 14:48:10.881"</f>
        <v>12/16/2021 14:48:10.881</v>
      </c>
      <c r="C1222" t="str">
        <f t="shared" si="55"/>
        <v>FFDFD3C0</v>
      </c>
      <c r="D1222" t="s">
        <v>124</v>
      </c>
      <c r="E1222">
        <v>5</v>
      </c>
      <c r="F1222">
        <v>1005</v>
      </c>
      <c r="G1222" t="s">
        <v>114</v>
      </c>
      <c r="J1222" t="s">
        <v>125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"14:48:10.664"</f>
        <v>14:48:10.664</v>
      </c>
      <c r="T1222" t="str">
        <f>"14:48:07.664"</f>
        <v>14:48:07.664</v>
      </c>
      <c r="U1222" t="str">
        <f t="shared" si="57"/>
        <v>A0F928</v>
      </c>
      <c r="V1222">
        <v>0</v>
      </c>
      <c r="W1222">
        <v>0</v>
      </c>
      <c r="X1222">
        <v>2</v>
      </c>
      <c r="Z1222">
        <v>0</v>
      </c>
      <c r="AA1222">
        <v>9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2</v>
      </c>
      <c r="AH1222">
        <v>1</v>
      </c>
      <c r="AI1222" t="s">
        <v>693</v>
      </c>
      <c r="AJ1222">
        <v>35.828561999999998</v>
      </c>
      <c r="AK1222" t="s">
        <v>694</v>
      </c>
      <c r="AL1222">
        <v>-83.969320999999994</v>
      </c>
      <c r="AM1222">
        <v>25</v>
      </c>
      <c r="AN1222">
        <v>950</v>
      </c>
      <c r="AO1222" t="s">
        <v>118</v>
      </c>
      <c r="AP1222">
        <v>-60</v>
      </c>
      <c r="AQ1222">
        <v>-64</v>
      </c>
      <c r="AR1222">
        <v>-192</v>
      </c>
      <c r="AZ1222">
        <v>300</v>
      </c>
      <c r="BA1222">
        <v>1</v>
      </c>
      <c r="BB1222" t="str">
        <f t="shared" si="56"/>
        <v xml:space="preserve">N162AM  </v>
      </c>
      <c r="BC1222">
        <v>1</v>
      </c>
      <c r="BE1222">
        <v>0</v>
      </c>
      <c r="BF1222">
        <v>0</v>
      </c>
      <c r="BG1222">
        <v>0</v>
      </c>
      <c r="BH1222">
        <v>1225</v>
      </c>
      <c r="BI1222">
        <v>1</v>
      </c>
      <c r="BJ1222">
        <v>1</v>
      </c>
      <c r="BK1222">
        <v>1</v>
      </c>
      <c r="BL1222">
        <v>0</v>
      </c>
      <c r="BO1222">
        <v>0</v>
      </c>
      <c r="BP1222">
        <v>0</v>
      </c>
      <c r="BW1222" t="str">
        <f>"14:48:10.668"</f>
        <v>14:48:10.668</v>
      </c>
      <c r="CJ1222">
        <v>3</v>
      </c>
      <c r="CK1222">
        <v>2</v>
      </c>
      <c r="CL1222">
        <v>0</v>
      </c>
      <c r="CM1222">
        <v>2</v>
      </c>
      <c r="CN1222">
        <v>0</v>
      </c>
      <c r="CO1222">
        <v>1</v>
      </c>
      <c r="CP1222" t="s">
        <v>119</v>
      </c>
      <c r="CQ1222">
        <v>232</v>
      </c>
      <c r="CR1222">
        <v>1</v>
      </c>
      <c r="CW1222">
        <v>15335178</v>
      </c>
      <c r="CY1222">
        <v>0</v>
      </c>
      <c r="CZ1222">
        <v>0</v>
      </c>
      <c r="DA1222">
        <v>1</v>
      </c>
      <c r="DB1222">
        <v>0</v>
      </c>
      <c r="DC1222">
        <v>0</v>
      </c>
      <c r="DD1222">
        <v>1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>"12/16/2021 14:48:10.881"</f>
        <v>12/16/2021 14:48:10.881</v>
      </c>
      <c r="C1223" t="str">
        <f t="shared" si="55"/>
        <v>FFDFD3C0</v>
      </c>
      <c r="D1223" t="s">
        <v>133</v>
      </c>
      <c r="E1223">
        <v>44</v>
      </c>
      <c r="H1223">
        <v>131</v>
      </c>
      <c r="I1223" t="s">
        <v>134</v>
      </c>
      <c r="J1223" t="s">
        <v>135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"14:48:10.664"</f>
        <v>14:48:10.664</v>
      </c>
      <c r="T1223" t="str">
        <f>"14:48:07.664"</f>
        <v>14:48:07.664</v>
      </c>
      <c r="U1223" t="str">
        <f t="shared" si="57"/>
        <v>A0F928</v>
      </c>
      <c r="V1223">
        <v>0</v>
      </c>
      <c r="W1223">
        <v>0</v>
      </c>
      <c r="X1223">
        <v>2</v>
      </c>
      <c r="Z1223">
        <v>0</v>
      </c>
      <c r="AA1223">
        <v>9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2</v>
      </c>
      <c r="AH1223">
        <v>1</v>
      </c>
      <c r="AI1223" t="s">
        <v>693</v>
      </c>
      <c r="AJ1223">
        <v>35.828561999999998</v>
      </c>
      <c r="AK1223" t="s">
        <v>694</v>
      </c>
      <c r="AL1223">
        <v>-83.969320999999994</v>
      </c>
      <c r="AM1223">
        <v>25</v>
      </c>
      <c r="AN1223">
        <v>950</v>
      </c>
      <c r="AO1223" t="s">
        <v>118</v>
      </c>
      <c r="AP1223">
        <v>-60</v>
      </c>
      <c r="AQ1223">
        <v>-64</v>
      </c>
      <c r="AR1223">
        <v>-192</v>
      </c>
      <c r="AZ1223">
        <v>300</v>
      </c>
      <c r="BA1223">
        <v>1</v>
      </c>
      <c r="BB1223" t="str">
        <f t="shared" si="56"/>
        <v xml:space="preserve">N162AM  </v>
      </c>
      <c r="BC1223">
        <v>1</v>
      </c>
      <c r="BE1223">
        <v>0</v>
      </c>
      <c r="BF1223">
        <v>0</v>
      </c>
      <c r="BG1223">
        <v>0</v>
      </c>
      <c r="BH1223">
        <v>1225</v>
      </c>
      <c r="BI1223">
        <v>1</v>
      </c>
      <c r="BJ1223">
        <v>1</v>
      </c>
      <c r="BK1223">
        <v>1</v>
      </c>
      <c r="BL1223">
        <v>0</v>
      </c>
      <c r="BO1223">
        <v>0</v>
      </c>
      <c r="BP1223">
        <v>0</v>
      </c>
      <c r="BW1223" t="str">
        <f>"14:48:10.668"</f>
        <v>14:48:10.668</v>
      </c>
      <c r="CJ1223">
        <v>3</v>
      </c>
      <c r="CK1223">
        <v>2</v>
      </c>
      <c r="CL1223">
        <v>0</v>
      </c>
      <c r="CM1223">
        <v>2</v>
      </c>
      <c r="CN1223">
        <v>0</v>
      </c>
      <c r="CO1223">
        <v>1</v>
      </c>
      <c r="CP1223" t="s">
        <v>119</v>
      </c>
      <c r="CQ1223">
        <v>232</v>
      </c>
      <c r="CR1223">
        <v>1</v>
      </c>
      <c r="CW1223">
        <v>15335178</v>
      </c>
      <c r="CY1223">
        <v>0</v>
      </c>
      <c r="CZ1223">
        <v>0</v>
      </c>
      <c r="DA1223">
        <v>1</v>
      </c>
      <c r="DB1223">
        <v>0</v>
      </c>
      <c r="DC1223">
        <v>0</v>
      </c>
      <c r="DD1223">
        <v>1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>"12/16/2021 14:48:10.881"</f>
        <v>12/16/2021 14:48:10.881</v>
      </c>
      <c r="C1224" t="str">
        <f t="shared" si="55"/>
        <v>FFDFD3C0</v>
      </c>
      <c r="D1224" t="s">
        <v>124</v>
      </c>
      <c r="E1224">
        <v>10</v>
      </c>
      <c r="F1224">
        <v>1010</v>
      </c>
      <c r="G1224" t="s">
        <v>130</v>
      </c>
      <c r="J1224" t="s">
        <v>125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"14:48:10.664"</f>
        <v>14:48:10.664</v>
      </c>
      <c r="T1224" t="str">
        <f>"14:48:07.664"</f>
        <v>14:48:07.664</v>
      </c>
      <c r="U1224" t="str">
        <f t="shared" si="57"/>
        <v>A0F928</v>
      </c>
      <c r="V1224">
        <v>0</v>
      </c>
      <c r="W1224">
        <v>0</v>
      </c>
      <c r="X1224">
        <v>2</v>
      </c>
      <c r="Z1224">
        <v>0</v>
      </c>
      <c r="AA1224">
        <v>9</v>
      </c>
      <c r="AB1224">
        <v>3</v>
      </c>
      <c r="AC1224">
        <v>0</v>
      </c>
      <c r="AD1224">
        <v>10</v>
      </c>
      <c r="AE1224">
        <v>0</v>
      </c>
      <c r="AF1224">
        <v>0</v>
      </c>
      <c r="AG1224">
        <v>2</v>
      </c>
      <c r="AH1224">
        <v>1</v>
      </c>
      <c r="AI1224" t="s">
        <v>693</v>
      </c>
      <c r="AJ1224">
        <v>35.828561999999998</v>
      </c>
      <c r="AK1224" t="s">
        <v>694</v>
      </c>
      <c r="AL1224">
        <v>-83.969320999999994</v>
      </c>
      <c r="AM1224">
        <v>25</v>
      </c>
      <c r="AN1224">
        <v>950</v>
      </c>
      <c r="AO1224" t="s">
        <v>118</v>
      </c>
      <c r="AP1224">
        <v>-60</v>
      </c>
      <c r="AQ1224">
        <v>-64</v>
      </c>
      <c r="AR1224">
        <v>-192</v>
      </c>
      <c r="AZ1224">
        <v>300</v>
      </c>
      <c r="BA1224">
        <v>1</v>
      </c>
      <c r="BB1224" t="str">
        <f t="shared" si="56"/>
        <v xml:space="preserve">N162AM  </v>
      </c>
      <c r="BC1224">
        <v>1</v>
      </c>
      <c r="BE1224">
        <v>0</v>
      </c>
      <c r="BF1224">
        <v>0</v>
      </c>
      <c r="BG1224">
        <v>0</v>
      </c>
      <c r="BH1224">
        <v>1225</v>
      </c>
      <c r="BI1224">
        <v>1</v>
      </c>
      <c r="BJ1224">
        <v>1</v>
      </c>
      <c r="BK1224">
        <v>1</v>
      </c>
      <c r="BL1224">
        <v>0</v>
      </c>
      <c r="BO1224">
        <v>0</v>
      </c>
      <c r="BP1224">
        <v>0</v>
      </c>
      <c r="BW1224" t="str">
        <f>"14:48:10.668"</f>
        <v>14:48:10.668</v>
      </c>
      <c r="CJ1224">
        <v>2</v>
      </c>
      <c r="CK1224">
        <v>2</v>
      </c>
      <c r="CL1224">
        <v>0</v>
      </c>
      <c r="CM1224">
        <v>2</v>
      </c>
      <c r="CN1224">
        <v>0</v>
      </c>
      <c r="CO1224">
        <v>1</v>
      </c>
      <c r="CP1224" t="s">
        <v>119</v>
      </c>
      <c r="CQ1224">
        <v>232</v>
      </c>
      <c r="CR1224">
        <v>1</v>
      </c>
      <c r="CW1224">
        <v>15335178</v>
      </c>
      <c r="CY1224">
        <v>0</v>
      </c>
      <c r="CZ1224">
        <v>0</v>
      </c>
      <c r="DA1224">
        <v>1</v>
      </c>
      <c r="DB1224">
        <v>0</v>
      </c>
      <c r="DC1224">
        <v>0</v>
      </c>
      <c r="DD1224">
        <v>1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>"12/16/2021 14:48:15.163"</f>
        <v>12/16/2021 14:48:15.163</v>
      </c>
      <c r="C1225" t="str">
        <f t="shared" si="55"/>
        <v>FFDFD3C0</v>
      </c>
      <c r="D1225" t="s">
        <v>124</v>
      </c>
      <c r="E1225">
        <v>10</v>
      </c>
      <c r="F1225">
        <v>1010</v>
      </c>
      <c r="G1225" t="s">
        <v>130</v>
      </c>
      <c r="J1225" t="s">
        <v>125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"14:48:14.938"</f>
        <v>14:48:14.938</v>
      </c>
      <c r="T1225" t="str">
        <f>"14:48:13.438"</f>
        <v>14:48:13.438</v>
      </c>
      <c r="U1225" t="str">
        <f t="shared" si="57"/>
        <v>A0F928</v>
      </c>
      <c r="V1225">
        <v>0</v>
      </c>
      <c r="W1225">
        <v>0</v>
      </c>
      <c r="X1225">
        <v>2</v>
      </c>
      <c r="Z1225">
        <v>0</v>
      </c>
      <c r="AA1225">
        <v>9</v>
      </c>
      <c r="AB1225">
        <v>3</v>
      </c>
      <c r="AC1225">
        <v>0</v>
      </c>
      <c r="AD1225">
        <v>10</v>
      </c>
      <c r="AE1225">
        <v>0</v>
      </c>
      <c r="AF1225">
        <v>0</v>
      </c>
      <c r="AG1225">
        <v>2</v>
      </c>
      <c r="AH1225">
        <v>1</v>
      </c>
      <c r="AI1225" t="s">
        <v>695</v>
      </c>
      <c r="AJ1225">
        <v>35.827339000000002</v>
      </c>
      <c r="AK1225" t="s">
        <v>696</v>
      </c>
      <c r="AL1225">
        <v>-83.970780000000005</v>
      </c>
      <c r="AM1225">
        <v>25</v>
      </c>
      <c r="AN1225">
        <v>925</v>
      </c>
      <c r="AO1225" t="s">
        <v>118</v>
      </c>
      <c r="AP1225">
        <v>-63</v>
      </c>
      <c r="AQ1225">
        <v>-62</v>
      </c>
      <c r="AR1225">
        <v>-320</v>
      </c>
      <c r="AZ1225">
        <v>300</v>
      </c>
      <c r="BA1225">
        <v>1</v>
      </c>
      <c r="BB1225" t="str">
        <f t="shared" si="56"/>
        <v xml:space="preserve">N162AM  </v>
      </c>
      <c r="BC1225">
        <v>1</v>
      </c>
      <c r="BE1225">
        <v>0</v>
      </c>
      <c r="BF1225">
        <v>0</v>
      </c>
      <c r="BG1225">
        <v>0</v>
      </c>
      <c r="BH1225">
        <v>1200</v>
      </c>
      <c r="BI1225">
        <v>1</v>
      </c>
      <c r="BJ1225">
        <v>1</v>
      </c>
      <c r="BK1225">
        <v>1</v>
      </c>
      <c r="BL1225">
        <v>0</v>
      </c>
      <c r="BO1225">
        <v>0</v>
      </c>
      <c r="BP1225">
        <v>0</v>
      </c>
      <c r="BW1225" t="str">
        <f>"14:48:14.938"</f>
        <v>14:48:14.938</v>
      </c>
      <c r="CJ1225">
        <v>2</v>
      </c>
      <c r="CK1225">
        <v>2</v>
      </c>
      <c r="CL1225">
        <v>0</v>
      </c>
      <c r="CM1225">
        <v>2</v>
      </c>
      <c r="CN1225">
        <v>0</v>
      </c>
      <c r="CO1225">
        <v>1</v>
      </c>
      <c r="CP1225" t="s">
        <v>119</v>
      </c>
      <c r="CQ1225">
        <v>232</v>
      </c>
      <c r="CR1225">
        <v>1</v>
      </c>
      <c r="CW1225">
        <v>15341789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1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>"12/16/2021 14:48:15.163"</f>
        <v>12/16/2021 14:48:15.163</v>
      </c>
      <c r="C1226" t="str">
        <f t="shared" si="55"/>
        <v>FFDFD3C0</v>
      </c>
      <c r="D1226" t="s">
        <v>124</v>
      </c>
      <c r="E1226">
        <v>5</v>
      </c>
      <c r="F1226">
        <v>1005</v>
      </c>
      <c r="G1226" t="s">
        <v>114</v>
      </c>
      <c r="J1226" t="s">
        <v>125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"14:48:14.938"</f>
        <v>14:48:14.938</v>
      </c>
      <c r="T1226" t="str">
        <f>"14:48:13.438"</f>
        <v>14:48:13.438</v>
      </c>
      <c r="U1226" t="str">
        <f t="shared" si="57"/>
        <v>A0F928</v>
      </c>
      <c r="V1226">
        <v>0</v>
      </c>
      <c r="W1226">
        <v>0</v>
      </c>
      <c r="X1226">
        <v>2</v>
      </c>
      <c r="Z1226">
        <v>0</v>
      </c>
      <c r="AA1226">
        <v>9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2</v>
      </c>
      <c r="AH1226">
        <v>1</v>
      </c>
      <c r="AI1226" t="s">
        <v>695</v>
      </c>
      <c r="AJ1226">
        <v>35.827339000000002</v>
      </c>
      <c r="AK1226" t="s">
        <v>696</v>
      </c>
      <c r="AL1226">
        <v>-83.970780000000005</v>
      </c>
      <c r="AM1226">
        <v>25</v>
      </c>
      <c r="AN1226">
        <v>925</v>
      </c>
      <c r="AO1226" t="s">
        <v>118</v>
      </c>
      <c r="AP1226">
        <v>-63</v>
      </c>
      <c r="AQ1226">
        <v>-62</v>
      </c>
      <c r="AR1226">
        <v>-320</v>
      </c>
      <c r="AZ1226">
        <v>300</v>
      </c>
      <c r="BA1226">
        <v>1</v>
      </c>
      <c r="BB1226" t="str">
        <f t="shared" si="56"/>
        <v xml:space="preserve">N162AM  </v>
      </c>
      <c r="BC1226">
        <v>1</v>
      </c>
      <c r="BE1226">
        <v>0</v>
      </c>
      <c r="BF1226">
        <v>0</v>
      </c>
      <c r="BG1226">
        <v>0</v>
      </c>
      <c r="BH1226">
        <v>1200</v>
      </c>
      <c r="BI1226">
        <v>1</v>
      </c>
      <c r="BJ1226">
        <v>1</v>
      </c>
      <c r="BK1226">
        <v>1</v>
      </c>
      <c r="BL1226">
        <v>0</v>
      </c>
      <c r="BO1226">
        <v>0</v>
      </c>
      <c r="BP1226">
        <v>0</v>
      </c>
      <c r="BW1226" t="str">
        <f>"14:48:14.938"</f>
        <v>14:48:14.938</v>
      </c>
      <c r="CJ1226">
        <v>3</v>
      </c>
      <c r="CK1226">
        <v>2</v>
      </c>
      <c r="CL1226">
        <v>0</v>
      </c>
      <c r="CM1226">
        <v>2</v>
      </c>
      <c r="CN1226">
        <v>0</v>
      </c>
      <c r="CO1226">
        <v>1</v>
      </c>
      <c r="CP1226" t="s">
        <v>119</v>
      </c>
      <c r="CQ1226">
        <v>232</v>
      </c>
      <c r="CR1226">
        <v>1</v>
      </c>
      <c r="CW1226">
        <v>15341789</v>
      </c>
      <c r="CY1226">
        <v>0</v>
      </c>
      <c r="CZ1226">
        <v>0</v>
      </c>
      <c r="DA1226">
        <v>1</v>
      </c>
      <c r="DB1226">
        <v>0</v>
      </c>
      <c r="DC1226">
        <v>0</v>
      </c>
      <c r="DD1226">
        <v>1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>"12/16/2021 14:48:15.178"</f>
        <v>12/16/2021 14:48:15.178</v>
      </c>
      <c r="C1227" t="str">
        <f t="shared" si="55"/>
        <v>FFDFD3C0</v>
      </c>
      <c r="D1227" t="s">
        <v>113</v>
      </c>
      <c r="E1227">
        <v>8</v>
      </c>
      <c r="H1227">
        <v>176</v>
      </c>
      <c r="I1227" t="s">
        <v>114</v>
      </c>
      <c r="J1227" t="s">
        <v>115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"14:48:14.938"</f>
        <v>14:48:14.938</v>
      </c>
      <c r="T1227" t="str">
        <f>"14:48:13.438"</f>
        <v>14:48:13.438</v>
      </c>
      <c r="U1227" t="str">
        <f t="shared" si="57"/>
        <v>A0F928</v>
      </c>
      <c r="V1227">
        <v>0</v>
      </c>
      <c r="W1227">
        <v>0</v>
      </c>
      <c r="X1227">
        <v>2</v>
      </c>
      <c r="Z1227">
        <v>0</v>
      </c>
      <c r="AA1227">
        <v>9</v>
      </c>
      <c r="AB1227">
        <v>3</v>
      </c>
      <c r="AC1227">
        <v>0</v>
      </c>
      <c r="AD1227">
        <v>10</v>
      </c>
      <c r="AE1227">
        <v>0</v>
      </c>
      <c r="AF1227">
        <v>3</v>
      </c>
      <c r="AG1227">
        <v>2</v>
      </c>
      <c r="AH1227">
        <v>1</v>
      </c>
      <c r="AI1227" t="s">
        <v>695</v>
      </c>
      <c r="AJ1227">
        <v>35.827339000000002</v>
      </c>
      <c r="AK1227" t="s">
        <v>696</v>
      </c>
      <c r="AL1227">
        <v>-83.970780000000005</v>
      </c>
      <c r="AM1227">
        <v>25</v>
      </c>
      <c r="AN1227">
        <v>925</v>
      </c>
      <c r="AO1227" t="s">
        <v>118</v>
      </c>
      <c r="AP1227">
        <v>-63</v>
      </c>
      <c r="AQ1227">
        <v>-62</v>
      </c>
      <c r="AR1227">
        <v>-320</v>
      </c>
      <c r="AZ1227">
        <v>300</v>
      </c>
      <c r="BA1227">
        <v>1</v>
      </c>
      <c r="BB1227" t="str">
        <f t="shared" si="56"/>
        <v xml:space="preserve">N162AM  </v>
      </c>
      <c r="BC1227">
        <v>1</v>
      </c>
      <c r="BE1227">
        <v>0</v>
      </c>
      <c r="BF1227">
        <v>0</v>
      </c>
      <c r="BG1227">
        <v>0</v>
      </c>
      <c r="BH1227">
        <v>1200</v>
      </c>
      <c r="BI1227">
        <v>1</v>
      </c>
      <c r="BJ1227">
        <v>1</v>
      </c>
      <c r="BK1227">
        <v>1</v>
      </c>
      <c r="BL1227">
        <v>0</v>
      </c>
      <c r="BO1227">
        <v>0</v>
      </c>
      <c r="BP1227">
        <v>0</v>
      </c>
      <c r="BW1227" t="str">
        <f>"14:48:14.938"</f>
        <v>14:48:14.938</v>
      </c>
      <c r="CJ1227">
        <v>3</v>
      </c>
      <c r="CK1227">
        <v>2</v>
      </c>
      <c r="CL1227">
        <v>0</v>
      </c>
      <c r="CM1227">
        <v>2</v>
      </c>
      <c r="CN1227">
        <v>0</v>
      </c>
      <c r="CO1227">
        <v>1</v>
      </c>
      <c r="CP1227" t="s">
        <v>119</v>
      </c>
      <c r="CQ1227">
        <v>232</v>
      </c>
      <c r="CR1227">
        <v>1</v>
      </c>
      <c r="CW1227">
        <v>15341789</v>
      </c>
      <c r="CY1227">
        <v>0</v>
      </c>
      <c r="CZ1227">
        <v>0</v>
      </c>
      <c r="DA1227">
        <v>1</v>
      </c>
      <c r="DB1227">
        <v>0</v>
      </c>
      <c r="DC1227">
        <v>0</v>
      </c>
      <c r="DD1227">
        <v>1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>"12/16/2021 14:48:15.194"</f>
        <v>12/16/2021 14:48:15.194</v>
      </c>
      <c r="C1228" t="str">
        <f t="shared" si="55"/>
        <v>FFDFD3C0</v>
      </c>
      <c r="D1228" t="s">
        <v>133</v>
      </c>
      <c r="E1228">
        <v>44</v>
      </c>
      <c r="H1228">
        <v>131</v>
      </c>
      <c r="I1228" t="s">
        <v>134</v>
      </c>
      <c r="J1228" t="s">
        <v>135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"14:48:14.938"</f>
        <v>14:48:14.938</v>
      </c>
      <c r="T1228" t="str">
        <f>"14:48:13.438"</f>
        <v>14:48:13.438</v>
      </c>
      <c r="U1228" t="str">
        <f t="shared" si="57"/>
        <v>A0F928</v>
      </c>
      <c r="V1228">
        <v>0</v>
      </c>
      <c r="W1228">
        <v>0</v>
      </c>
      <c r="X1228">
        <v>2</v>
      </c>
      <c r="Z1228">
        <v>0</v>
      </c>
      <c r="AA1228">
        <v>9</v>
      </c>
      <c r="AB1228">
        <v>3</v>
      </c>
      <c r="AC1228">
        <v>0</v>
      </c>
      <c r="AD1228">
        <v>10</v>
      </c>
      <c r="AE1228">
        <v>0</v>
      </c>
      <c r="AF1228">
        <v>3</v>
      </c>
      <c r="AG1228">
        <v>2</v>
      </c>
      <c r="AH1228">
        <v>1</v>
      </c>
      <c r="AI1228" t="s">
        <v>695</v>
      </c>
      <c r="AJ1228">
        <v>35.827339000000002</v>
      </c>
      <c r="AK1228" t="s">
        <v>696</v>
      </c>
      <c r="AL1228">
        <v>-83.970780000000005</v>
      </c>
      <c r="AM1228">
        <v>25</v>
      </c>
      <c r="AN1228">
        <v>925</v>
      </c>
      <c r="AO1228" t="s">
        <v>118</v>
      </c>
      <c r="AP1228">
        <v>-63</v>
      </c>
      <c r="AQ1228">
        <v>-62</v>
      </c>
      <c r="AR1228">
        <v>-320</v>
      </c>
      <c r="AZ1228">
        <v>300</v>
      </c>
      <c r="BA1228">
        <v>1</v>
      </c>
      <c r="BB1228" t="str">
        <f t="shared" ref="BB1228:BB1291" si="58">"N162AM  "</f>
        <v xml:space="preserve">N162AM  </v>
      </c>
      <c r="BC1228">
        <v>1</v>
      </c>
      <c r="BE1228">
        <v>0</v>
      </c>
      <c r="BF1228">
        <v>0</v>
      </c>
      <c r="BG1228">
        <v>0</v>
      </c>
      <c r="BH1228">
        <v>1200</v>
      </c>
      <c r="BI1228">
        <v>1</v>
      </c>
      <c r="BJ1228">
        <v>1</v>
      </c>
      <c r="BK1228">
        <v>1</v>
      </c>
      <c r="BL1228">
        <v>0</v>
      </c>
      <c r="BO1228">
        <v>0</v>
      </c>
      <c r="BP1228">
        <v>0</v>
      </c>
      <c r="BW1228" t="str">
        <f>"14:48:14.938"</f>
        <v>14:48:14.938</v>
      </c>
      <c r="CJ1228">
        <v>3</v>
      </c>
      <c r="CK1228">
        <v>2</v>
      </c>
      <c r="CL1228">
        <v>0</v>
      </c>
      <c r="CM1228">
        <v>2</v>
      </c>
      <c r="CN1228">
        <v>0</v>
      </c>
      <c r="CO1228">
        <v>1</v>
      </c>
      <c r="CP1228" t="s">
        <v>119</v>
      </c>
      <c r="CQ1228">
        <v>232</v>
      </c>
      <c r="CR1228">
        <v>1</v>
      </c>
      <c r="CW1228">
        <v>15341789</v>
      </c>
      <c r="CY1228">
        <v>0</v>
      </c>
      <c r="CZ1228">
        <v>0</v>
      </c>
      <c r="DA1228">
        <v>1</v>
      </c>
      <c r="DB1228">
        <v>0</v>
      </c>
      <c r="DC1228">
        <v>0</v>
      </c>
      <c r="DD1228">
        <v>1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>"12/16/2021 14:48:16.100"</f>
        <v>12/16/2021 14:48:16.100</v>
      </c>
      <c r="C1229" t="str">
        <f t="shared" si="55"/>
        <v>FFDFD3C0</v>
      </c>
      <c r="D1229" t="s">
        <v>133</v>
      </c>
      <c r="E1229">
        <v>44</v>
      </c>
      <c r="H1229">
        <v>131</v>
      </c>
      <c r="I1229" t="s">
        <v>134</v>
      </c>
      <c r="J1229" t="s">
        <v>135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"14:48:15.883"</f>
        <v>14:48:15.883</v>
      </c>
      <c r="T1229" t="str">
        <f>"14:48:13.483"</f>
        <v>14:48:13.483</v>
      </c>
      <c r="U1229" t="str">
        <f t="shared" si="57"/>
        <v>A0F928</v>
      </c>
      <c r="V1229">
        <v>0</v>
      </c>
      <c r="W1229">
        <v>0</v>
      </c>
      <c r="X1229">
        <v>2</v>
      </c>
      <c r="Z1229">
        <v>0</v>
      </c>
      <c r="AA1229">
        <v>9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2</v>
      </c>
      <c r="AH1229">
        <v>1</v>
      </c>
      <c r="AI1229" t="s">
        <v>697</v>
      </c>
      <c r="AJ1229">
        <v>35.827060000000003</v>
      </c>
      <c r="AK1229" t="s">
        <v>698</v>
      </c>
      <c r="AL1229">
        <v>-83.971145000000007</v>
      </c>
      <c r="AM1229">
        <v>25</v>
      </c>
      <c r="AN1229">
        <v>925</v>
      </c>
      <c r="AO1229" t="s">
        <v>118</v>
      </c>
      <c r="AP1229">
        <v>-63</v>
      </c>
      <c r="AQ1229">
        <v>-62</v>
      </c>
      <c r="AR1229">
        <v>-320</v>
      </c>
      <c r="AZ1229">
        <v>300</v>
      </c>
      <c r="BA1229">
        <v>1</v>
      </c>
      <c r="BB1229" t="str">
        <f t="shared" si="58"/>
        <v xml:space="preserve">N162AM  </v>
      </c>
      <c r="BC1229">
        <v>1</v>
      </c>
      <c r="BE1229">
        <v>0</v>
      </c>
      <c r="BF1229">
        <v>0</v>
      </c>
      <c r="BG1229">
        <v>0</v>
      </c>
      <c r="BH1229">
        <v>1200</v>
      </c>
      <c r="BI1229">
        <v>1</v>
      </c>
      <c r="BJ1229">
        <v>1</v>
      </c>
      <c r="BK1229">
        <v>1</v>
      </c>
      <c r="BL1229">
        <v>0</v>
      </c>
      <c r="BO1229">
        <v>0</v>
      </c>
      <c r="BP1229">
        <v>0</v>
      </c>
      <c r="BW1229" t="str">
        <f>"14:48:15.883"</f>
        <v>14:48:15.883</v>
      </c>
      <c r="CJ1229">
        <v>3</v>
      </c>
      <c r="CK1229">
        <v>2</v>
      </c>
      <c r="CL1229">
        <v>0</v>
      </c>
      <c r="CM1229">
        <v>2</v>
      </c>
      <c r="CN1229">
        <v>0</v>
      </c>
      <c r="CO1229">
        <v>2</v>
      </c>
      <c r="CP1229" t="s">
        <v>119</v>
      </c>
      <c r="CQ1229">
        <v>232</v>
      </c>
      <c r="CR1229">
        <v>1</v>
      </c>
      <c r="CW1229">
        <v>15343281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1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>"12/16/2021 14:48:16.147"</f>
        <v>12/16/2021 14:48:16.147</v>
      </c>
      <c r="C1230" t="str">
        <f t="shared" si="55"/>
        <v>FFDFD3C0</v>
      </c>
      <c r="D1230" t="s">
        <v>124</v>
      </c>
      <c r="E1230">
        <v>10</v>
      </c>
      <c r="F1230">
        <v>1010</v>
      </c>
      <c r="G1230" t="s">
        <v>130</v>
      </c>
      <c r="J1230" t="s">
        <v>125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"14:48:15.883"</f>
        <v>14:48:15.883</v>
      </c>
      <c r="T1230" t="str">
        <f>"14:48:13.483"</f>
        <v>14:48:13.483</v>
      </c>
      <c r="U1230" t="str">
        <f t="shared" si="57"/>
        <v>A0F928</v>
      </c>
      <c r="V1230">
        <v>0</v>
      </c>
      <c r="W1230">
        <v>0</v>
      </c>
      <c r="X1230">
        <v>2</v>
      </c>
      <c r="Z1230">
        <v>0</v>
      </c>
      <c r="AA1230">
        <v>9</v>
      </c>
      <c r="AB1230">
        <v>3</v>
      </c>
      <c r="AC1230">
        <v>0</v>
      </c>
      <c r="AD1230">
        <v>10</v>
      </c>
      <c r="AE1230">
        <v>0</v>
      </c>
      <c r="AF1230">
        <v>0</v>
      </c>
      <c r="AG1230">
        <v>2</v>
      </c>
      <c r="AH1230">
        <v>1</v>
      </c>
      <c r="AI1230" t="s">
        <v>697</v>
      </c>
      <c r="AJ1230">
        <v>35.827060000000003</v>
      </c>
      <c r="AK1230" t="s">
        <v>698</v>
      </c>
      <c r="AL1230">
        <v>-83.971145000000007</v>
      </c>
      <c r="AM1230">
        <v>25</v>
      </c>
      <c r="AN1230">
        <v>925</v>
      </c>
      <c r="AO1230" t="s">
        <v>118</v>
      </c>
      <c r="AP1230">
        <v>-63</v>
      </c>
      <c r="AQ1230">
        <v>-62</v>
      </c>
      <c r="AR1230">
        <v>-320</v>
      </c>
      <c r="AZ1230">
        <v>300</v>
      </c>
      <c r="BA1230">
        <v>1</v>
      </c>
      <c r="BB1230" t="str">
        <f t="shared" si="58"/>
        <v xml:space="preserve">N162AM  </v>
      </c>
      <c r="BC1230">
        <v>1</v>
      </c>
      <c r="BE1230">
        <v>0</v>
      </c>
      <c r="BF1230">
        <v>0</v>
      </c>
      <c r="BG1230">
        <v>0</v>
      </c>
      <c r="BH1230">
        <v>1200</v>
      </c>
      <c r="BI1230">
        <v>1</v>
      </c>
      <c r="BJ1230">
        <v>1</v>
      </c>
      <c r="BK1230">
        <v>1</v>
      </c>
      <c r="BL1230">
        <v>0</v>
      </c>
      <c r="BO1230">
        <v>0</v>
      </c>
      <c r="BP1230">
        <v>0</v>
      </c>
      <c r="BW1230" t="str">
        <f>"14:48:15.883"</f>
        <v>14:48:15.883</v>
      </c>
      <c r="CJ1230">
        <v>2</v>
      </c>
      <c r="CK1230">
        <v>2</v>
      </c>
      <c r="CL1230">
        <v>0</v>
      </c>
      <c r="CM1230">
        <v>2</v>
      </c>
      <c r="CN1230">
        <v>0</v>
      </c>
      <c r="CO1230">
        <v>2</v>
      </c>
      <c r="CP1230" t="s">
        <v>119</v>
      </c>
      <c r="CQ1230">
        <v>232</v>
      </c>
      <c r="CR1230">
        <v>1</v>
      </c>
      <c r="CW1230">
        <v>15343281</v>
      </c>
      <c r="CY1230">
        <v>0</v>
      </c>
      <c r="CZ1230">
        <v>0</v>
      </c>
      <c r="DA1230">
        <v>1</v>
      </c>
      <c r="DB1230">
        <v>0</v>
      </c>
      <c r="DC1230">
        <v>0</v>
      </c>
      <c r="DD1230">
        <v>1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>"12/16/2021 14:48:16.163"</f>
        <v>12/16/2021 14:48:16.163</v>
      </c>
      <c r="C1231" t="str">
        <f t="shared" si="55"/>
        <v>FFDFD3C0</v>
      </c>
      <c r="D1231" t="s">
        <v>124</v>
      </c>
      <c r="E1231">
        <v>5</v>
      </c>
      <c r="F1231">
        <v>1005</v>
      </c>
      <c r="G1231" t="s">
        <v>114</v>
      </c>
      <c r="J1231" t="s">
        <v>125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"14:48:15.883"</f>
        <v>14:48:15.883</v>
      </c>
      <c r="T1231" t="str">
        <f>"14:48:13.483"</f>
        <v>14:48:13.483</v>
      </c>
      <c r="U1231" t="str">
        <f t="shared" si="57"/>
        <v>A0F928</v>
      </c>
      <c r="V1231">
        <v>0</v>
      </c>
      <c r="W1231">
        <v>0</v>
      </c>
      <c r="X1231">
        <v>2</v>
      </c>
      <c r="Z1231">
        <v>0</v>
      </c>
      <c r="AA1231">
        <v>9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2</v>
      </c>
      <c r="AH1231">
        <v>1</v>
      </c>
      <c r="AI1231" t="s">
        <v>697</v>
      </c>
      <c r="AJ1231">
        <v>35.827060000000003</v>
      </c>
      <c r="AK1231" t="s">
        <v>698</v>
      </c>
      <c r="AL1231">
        <v>-83.971145000000007</v>
      </c>
      <c r="AM1231">
        <v>25</v>
      </c>
      <c r="AN1231">
        <v>925</v>
      </c>
      <c r="AO1231" t="s">
        <v>118</v>
      </c>
      <c r="AP1231">
        <v>-63</v>
      </c>
      <c r="AQ1231">
        <v>-62</v>
      </c>
      <c r="AR1231">
        <v>-320</v>
      </c>
      <c r="AZ1231">
        <v>300</v>
      </c>
      <c r="BA1231">
        <v>1</v>
      </c>
      <c r="BB1231" t="str">
        <f t="shared" si="58"/>
        <v xml:space="preserve">N162AM  </v>
      </c>
      <c r="BC1231">
        <v>1</v>
      </c>
      <c r="BE1231">
        <v>0</v>
      </c>
      <c r="BF1231">
        <v>0</v>
      </c>
      <c r="BG1231">
        <v>0</v>
      </c>
      <c r="BH1231">
        <v>1200</v>
      </c>
      <c r="BI1231">
        <v>1</v>
      </c>
      <c r="BJ1231">
        <v>1</v>
      </c>
      <c r="BK1231">
        <v>1</v>
      </c>
      <c r="BL1231">
        <v>0</v>
      </c>
      <c r="BO1231">
        <v>0</v>
      </c>
      <c r="BP1231">
        <v>0</v>
      </c>
      <c r="BW1231" t="str">
        <f>"14:48:15.883"</f>
        <v>14:48:15.883</v>
      </c>
      <c r="CJ1231">
        <v>3</v>
      </c>
      <c r="CK1231">
        <v>2</v>
      </c>
      <c r="CL1231">
        <v>0</v>
      </c>
      <c r="CM1231">
        <v>2</v>
      </c>
      <c r="CN1231">
        <v>0</v>
      </c>
      <c r="CO1231">
        <v>2</v>
      </c>
      <c r="CP1231" t="s">
        <v>119</v>
      </c>
      <c r="CQ1231">
        <v>232</v>
      </c>
      <c r="CR1231">
        <v>1</v>
      </c>
      <c r="CW1231">
        <v>15343281</v>
      </c>
      <c r="CY1231">
        <v>0</v>
      </c>
      <c r="CZ1231">
        <v>0</v>
      </c>
      <c r="DA1231">
        <v>1</v>
      </c>
      <c r="DB1231">
        <v>0</v>
      </c>
      <c r="DC1231">
        <v>0</v>
      </c>
      <c r="DD1231">
        <v>1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>"12/16/2021 14:48:16.163"</f>
        <v>12/16/2021 14:48:16.163</v>
      </c>
      <c r="C1232" t="str">
        <f t="shared" si="55"/>
        <v>FFDFD3C0</v>
      </c>
      <c r="D1232" t="s">
        <v>113</v>
      </c>
      <c r="E1232">
        <v>8</v>
      </c>
      <c r="H1232">
        <v>176</v>
      </c>
      <c r="I1232" t="s">
        <v>114</v>
      </c>
      <c r="J1232" t="s">
        <v>115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"14:48:15.883"</f>
        <v>14:48:15.883</v>
      </c>
      <c r="T1232" t="str">
        <f>"14:48:13.483"</f>
        <v>14:48:13.483</v>
      </c>
      <c r="U1232" t="str">
        <f t="shared" si="57"/>
        <v>A0F928</v>
      </c>
      <c r="V1232">
        <v>0</v>
      </c>
      <c r="W1232">
        <v>0</v>
      </c>
      <c r="X1232">
        <v>2</v>
      </c>
      <c r="Z1232">
        <v>0</v>
      </c>
      <c r="AA1232">
        <v>9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2</v>
      </c>
      <c r="AH1232">
        <v>1</v>
      </c>
      <c r="AI1232" t="s">
        <v>697</v>
      </c>
      <c r="AJ1232">
        <v>35.827060000000003</v>
      </c>
      <c r="AK1232" t="s">
        <v>698</v>
      </c>
      <c r="AL1232">
        <v>-83.971145000000007</v>
      </c>
      <c r="AM1232">
        <v>25</v>
      </c>
      <c r="AN1232">
        <v>925</v>
      </c>
      <c r="AO1232" t="s">
        <v>118</v>
      </c>
      <c r="AP1232">
        <v>-63</v>
      </c>
      <c r="AQ1232">
        <v>-62</v>
      </c>
      <c r="AR1232">
        <v>-320</v>
      </c>
      <c r="AZ1232">
        <v>300</v>
      </c>
      <c r="BA1232">
        <v>1</v>
      </c>
      <c r="BB1232" t="str">
        <f t="shared" si="58"/>
        <v xml:space="preserve">N162AM  </v>
      </c>
      <c r="BC1232">
        <v>1</v>
      </c>
      <c r="BE1232">
        <v>0</v>
      </c>
      <c r="BF1232">
        <v>0</v>
      </c>
      <c r="BG1232">
        <v>0</v>
      </c>
      <c r="BH1232">
        <v>1200</v>
      </c>
      <c r="BI1232">
        <v>1</v>
      </c>
      <c r="BJ1232">
        <v>1</v>
      </c>
      <c r="BK1232">
        <v>1</v>
      </c>
      <c r="BL1232">
        <v>0</v>
      </c>
      <c r="BO1232">
        <v>0</v>
      </c>
      <c r="BP1232">
        <v>0</v>
      </c>
      <c r="BW1232" t="str">
        <f>"14:48:15.883"</f>
        <v>14:48:15.883</v>
      </c>
      <c r="CJ1232">
        <v>3</v>
      </c>
      <c r="CK1232">
        <v>2</v>
      </c>
      <c r="CL1232">
        <v>0</v>
      </c>
      <c r="CM1232">
        <v>2</v>
      </c>
      <c r="CN1232">
        <v>0</v>
      </c>
      <c r="CO1232">
        <v>2</v>
      </c>
      <c r="CP1232" t="s">
        <v>119</v>
      </c>
      <c r="CQ1232">
        <v>232</v>
      </c>
      <c r="CR1232">
        <v>1</v>
      </c>
      <c r="CW1232">
        <v>15343281</v>
      </c>
      <c r="CY1232">
        <v>0</v>
      </c>
      <c r="CZ1232">
        <v>0</v>
      </c>
      <c r="DA1232">
        <v>1</v>
      </c>
      <c r="DB1232">
        <v>0</v>
      </c>
      <c r="DC1232">
        <v>0</v>
      </c>
      <c r="DD1232">
        <v>1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>"12/16/2021 14:48:17.819"</f>
        <v>12/16/2021 14:48:17.819</v>
      </c>
      <c r="C1233" t="str">
        <f>"FFDF53C0"</f>
        <v>FFDF53C0</v>
      </c>
      <c r="D1233" t="s">
        <v>133</v>
      </c>
      <c r="E1233">
        <v>44</v>
      </c>
      <c r="H1233">
        <v>131</v>
      </c>
      <c r="I1233" t="s">
        <v>134</v>
      </c>
      <c r="J1233" t="s">
        <v>135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"14:48:17.633"</f>
        <v>14:48:17.633</v>
      </c>
      <c r="U1233" t="str">
        <f t="shared" si="57"/>
        <v>A0F928</v>
      </c>
      <c r="V1233">
        <v>0</v>
      </c>
      <c r="W1233">
        <v>0</v>
      </c>
      <c r="X1233">
        <v>2</v>
      </c>
      <c r="Z1233">
        <v>0</v>
      </c>
      <c r="AA1233">
        <v>9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2</v>
      </c>
      <c r="AH1233">
        <v>1</v>
      </c>
      <c r="AI1233" t="s">
        <v>699</v>
      </c>
      <c r="AJ1233">
        <v>35.826545000000003</v>
      </c>
      <c r="AK1233" t="s">
        <v>700</v>
      </c>
      <c r="AL1233">
        <v>-83.971767</v>
      </c>
      <c r="AM1233">
        <v>25</v>
      </c>
      <c r="AN1233">
        <v>900</v>
      </c>
      <c r="AO1233" t="s">
        <v>118</v>
      </c>
      <c r="AR1233">
        <v>-128</v>
      </c>
      <c r="AZ1233">
        <v>300</v>
      </c>
      <c r="BA1233">
        <v>1</v>
      </c>
      <c r="BB1233" t="str">
        <f t="shared" si="58"/>
        <v xml:space="preserve">N162AM  </v>
      </c>
      <c r="BC1233">
        <v>1</v>
      </c>
      <c r="BE1233">
        <v>0</v>
      </c>
      <c r="BF1233">
        <v>0</v>
      </c>
      <c r="BG1233">
        <v>0</v>
      </c>
      <c r="BI1233">
        <v>1</v>
      </c>
      <c r="BJ1233">
        <v>1</v>
      </c>
      <c r="BK1233">
        <v>1</v>
      </c>
      <c r="BL1233">
        <v>0</v>
      </c>
      <c r="BO1233">
        <v>0</v>
      </c>
      <c r="BP1233">
        <v>0</v>
      </c>
      <c r="BW1233" t="str">
        <f>"14:48:17.633"</f>
        <v>14:48:17.633</v>
      </c>
      <c r="CJ1233">
        <v>3</v>
      </c>
      <c r="CK1233">
        <v>2</v>
      </c>
      <c r="CL1233">
        <v>0</v>
      </c>
      <c r="CM1233">
        <v>2</v>
      </c>
      <c r="CN1233">
        <v>0</v>
      </c>
      <c r="CO1233">
        <v>1</v>
      </c>
      <c r="CP1233" t="s">
        <v>119</v>
      </c>
      <c r="CQ1233">
        <v>232</v>
      </c>
      <c r="CR1233">
        <v>2</v>
      </c>
      <c r="CW1233">
        <v>6541909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1</v>
      </c>
      <c r="DE1233">
        <v>1</v>
      </c>
      <c r="DF1233">
        <v>1</v>
      </c>
      <c r="DG1233">
        <v>0</v>
      </c>
      <c r="DH1233">
        <v>0</v>
      </c>
      <c r="DI1233">
        <v>0</v>
      </c>
    </row>
    <row r="1234" spans="1:113" x14ac:dyDescent="0.3">
      <c r="A1234" t="str">
        <f>"12/16/2021 14:48:17.819"</f>
        <v>12/16/2021 14:48:17.819</v>
      </c>
      <c r="C1234" t="str">
        <f>"FFDF53C0"</f>
        <v>FFDF53C0</v>
      </c>
      <c r="D1234" t="s">
        <v>124</v>
      </c>
      <c r="E1234">
        <v>10</v>
      </c>
      <c r="F1234">
        <v>1010</v>
      </c>
      <c r="G1234" t="s">
        <v>130</v>
      </c>
      <c r="J1234" t="s">
        <v>125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"14:48:17.633"</f>
        <v>14:48:17.633</v>
      </c>
      <c r="U1234" t="str">
        <f t="shared" si="57"/>
        <v>A0F928</v>
      </c>
      <c r="V1234">
        <v>0</v>
      </c>
      <c r="W1234">
        <v>0</v>
      </c>
      <c r="X1234">
        <v>2</v>
      </c>
      <c r="Z1234">
        <v>0</v>
      </c>
      <c r="AA1234">
        <v>9</v>
      </c>
      <c r="AB1234">
        <v>3</v>
      </c>
      <c r="AC1234">
        <v>0</v>
      </c>
      <c r="AD1234">
        <v>10</v>
      </c>
      <c r="AE1234">
        <v>0</v>
      </c>
      <c r="AF1234">
        <v>0</v>
      </c>
      <c r="AG1234">
        <v>2</v>
      </c>
      <c r="AH1234">
        <v>1</v>
      </c>
      <c r="AI1234" t="s">
        <v>699</v>
      </c>
      <c r="AJ1234">
        <v>35.826545000000003</v>
      </c>
      <c r="AK1234" t="s">
        <v>700</v>
      </c>
      <c r="AL1234">
        <v>-83.971767</v>
      </c>
      <c r="AM1234">
        <v>25</v>
      </c>
      <c r="AN1234">
        <v>900</v>
      </c>
      <c r="AO1234" t="s">
        <v>118</v>
      </c>
      <c r="AR1234">
        <v>-128</v>
      </c>
      <c r="AZ1234">
        <v>300</v>
      </c>
      <c r="BA1234">
        <v>1</v>
      </c>
      <c r="BB1234" t="str">
        <f t="shared" si="58"/>
        <v xml:space="preserve">N162AM  </v>
      </c>
      <c r="BC1234">
        <v>1</v>
      </c>
      <c r="BE1234">
        <v>0</v>
      </c>
      <c r="BF1234">
        <v>0</v>
      </c>
      <c r="BG1234">
        <v>0</v>
      </c>
      <c r="BI1234">
        <v>1</v>
      </c>
      <c r="BJ1234">
        <v>1</v>
      </c>
      <c r="BK1234">
        <v>1</v>
      </c>
      <c r="BL1234">
        <v>0</v>
      </c>
      <c r="BO1234">
        <v>0</v>
      </c>
      <c r="BP1234">
        <v>0</v>
      </c>
      <c r="BW1234" t="str">
        <f>"14:48:17.633"</f>
        <v>14:48:17.633</v>
      </c>
      <c r="CJ1234">
        <v>2</v>
      </c>
      <c r="CK1234">
        <v>2</v>
      </c>
      <c r="CL1234">
        <v>0</v>
      </c>
      <c r="CM1234">
        <v>2</v>
      </c>
      <c r="CN1234">
        <v>0</v>
      </c>
      <c r="CO1234">
        <v>1</v>
      </c>
      <c r="CP1234" t="s">
        <v>119</v>
      </c>
      <c r="CQ1234">
        <v>232</v>
      </c>
      <c r="CR1234">
        <v>2</v>
      </c>
      <c r="CW1234">
        <v>6541909</v>
      </c>
      <c r="CY1234">
        <v>0</v>
      </c>
      <c r="CZ1234">
        <v>0</v>
      </c>
      <c r="DA1234">
        <v>1</v>
      </c>
      <c r="DB1234">
        <v>0</v>
      </c>
      <c r="DC1234">
        <v>0</v>
      </c>
      <c r="DD1234">
        <v>1</v>
      </c>
      <c r="DE1234">
        <v>1</v>
      </c>
      <c r="DF1234">
        <v>1</v>
      </c>
      <c r="DG1234">
        <v>0</v>
      </c>
      <c r="DH1234">
        <v>0</v>
      </c>
      <c r="DI1234">
        <v>0</v>
      </c>
    </row>
    <row r="1235" spans="1:113" x14ac:dyDescent="0.3">
      <c r="A1235" t="str">
        <f>"12/16/2021 14:48:17.819"</f>
        <v>12/16/2021 14:48:17.819</v>
      </c>
      <c r="C1235" t="str">
        <f>"FFDF53C0"</f>
        <v>FFDF53C0</v>
      </c>
      <c r="D1235" t="s">
        <v>124</v>
      </c>
      <c r="E1235">
        <v>5</v>
      </c>
      <c r="F1235">
        <v>1005</v>
      </c>
      <c r="G1235" t="s">
        <v>114</v>
      </c>
      <c r="J1235" t="s">
        <v>125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"14:48:17.633"</f>
        <v>14:48:17.633</v>
      </c>
      <c r="U1235" t="str">
        <f t="shared" si="57"/>
        <v>A0F928</v>
      </c>
      <c r="V1235">
        <v>0</v>
      </c>
      <c r="W1235">
        <v>0</v>
      </c>
      <c r="X1235">
        <v>2</v>
      </c>
      <c r="Z1235">
        <v>0</v>
      </c>
      <c r="AA1235">
        <v>9</v>
      </c>
      <c r="AB1235">
        <v>3</v>
      </c>
      <c r="AC1235">
        <v>0</v>
      </c>
      <c r="AD1235">
        <v>10</v>
      </c>
      <c r="AE1235">
        <v>0</v>
      </c>
      <c r="AF1235">
        <v>3</v>
      </c>
      <c r="AG1235">
        <v>2</v>
      </c>
      <c r="AH1235">
        <v>1</v>
      </c>
      <c r="AI1235" t="s">
        <v>699</v>
      </c>
      <c r="AJ1235">
        <v>35.826545000000003</v>
      </c>
      <c r="AK1235" t="s">
        <v>700</v>
      </c>
      <c r="AL1235">
        <v>-83.971767</v>
      </c>
      <c r="AM1235">
        <v>25</v>
      </c>
      <c r="AN1235">
        <v>900</v>
      </c>
      <c r="AO1235" t="s">
        <v>118</v>
      </c>
      <c r="AR1235">
        <v>-128</v>
      </c>
      <c r="AZ1235">
        <v>300</v>
      </c>
      <c r="BA1235">
        <v>1</v>
      </c>
      <c r="BB1235" t="str">
        <f t="shared" si="58"/>
        <v xml:space="preserve">N162AM  </v>
      </c>
      <c r="BC1235">
        <v>1</v>
      </c>
      <c r="BE1235">
        <v>0</v>
      </c>
      <c r="BF1235">
        <v>0</v>
      </c>
      <c r="BG1235">
        <v>0</v>
      </c>
      <c r="BI1235">
        <v>1</v>
      </c>
      <c r="BJ1235">
        <v>1</v>
      </c>
      <c r="BK1235">
        <v>1</v>
      </c>
      <c r="BL1235">
        <v>0</v>
      </c>
      <c r="BO1235">
        <v>0</v>
      </c>
      <c r="BP1235">
        <v>0</v>
      </c>
      <c r="BW1235" t="str">
        <f>"14:48:17.633"</f>
        <v>14:48:17.633</v>
      </c>
      <c r="CJ1235">
        <v>3</v>
      </c>
      <c r="CK1235">
        <v>2</v>
      </c>
      <c r="CL1235">
        <v>0</v>
      </c>
      <c r="CM1235">
        <v>2</v>
      </c>
      <c r="CN1235">
        <v>0</v>
      </c>
      <c r="CO1235">
        <v>1</v>
      </c>
      <c r="CP1235" t="s">
        <v>119</v>
      </c>
      <c r="CQ1235">
        <v>232</v>
      </c>
      <c r="CR1235">
        <v>2</v>
      </c>
      <c r="CW1235">
        <v>6541909</v>
      </c>
      <c r="CY1235">
        <v>0</v>
      </c>
      <c r="CZ1235">
        <v>0</v>
      </c>
      <c r="DA1235">
        <v>1</v>
      </c>
      <c r="DB1235">
        <v>0</v>
      </c>
      <c r="DC1235">
        <v>0</v>
      </c>
      <c r="DD1235">
        <v>1</v>
      </c>
      <c r="DE1235">
        <v>1</v>
      </c>
      <c r="DF1235">
        <v>1</v>
      </c>
      <c r="DG1235">
        <v>0</v>
      </c>
      <c r="DH1235">
        <v>0</v>
      </c>
      <c r="DI1235">
        <v>0</v>
      </c>
    </row>
    <row r="1236" spans="1:113" x14ac:dyDescent="0.3">
      <c r="A1236" t="str">
        <f>"12/16/2021 14:48:17.897"</f>
        <v>12/16/2021 14:48:17.897</v>
      </c>
      <c r="C1236" t="str">
        <f>"FFDF53C0"</f>
        <v>FFDF53C0</v>
      </c>
      <c r="D1236" t="s">
        <v>113</v>
      </c>
      <c r="E1236">
        <v>8</v>
      </c>
      <c r="H1236">
        <v>176</v>
      </c>
      <c r="I1236" t="s">
        <v>114</v>
      </c>
      <c r="J1236" t="s">
        <v>115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"14:48:17.633"</f>
        <v>14:48:17.633</v>
      </c>
      <c r="U1236" t="str">
        <f t="shared" si="57"/>
        <v>A0F928</v>
      </c>
      <c r="V1236">
        <v>0</v>
      </c>
      <c r="W1236">
        <v>0</v>
      </c>
      <c r="X1236">
        <v>2</v>
      </c>
      <c r="Z1236">
        <v>0</v>
      </c>
      <c r="AA1236">
        <v>9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2</v>
      </c>
      <c r="AH1236">
        <v>1</v>
      </c>
      <c r="AI1236" t="s">
        <v>699</v>
      </c>
      <c r="AJ1236">
        <v>35.826545000000003</v>
      </c>
      <c r="AK1236" t="s">
        <v>700</v>
      </c>
      <c r="AL1236">
        <v>-83.971767</v>
      </c>
      <c r="AM1236">
        <v>25</v>
      </c>
      <c r="AN1236">
        <v>900</v>
      </c>
      <c r="AO1236" t="s">
        <v>118</v>
      </c>
      <c r="AR1236">
        <v>-128</v>
      </c>
      <c r="AZ1236">
        <v>300</v>
      </c>
      <c r="BA1236">
        <v>1</v>
      </c>
      <c r="BB1236" t="str">
        <f t="shared" si="58"/>
        <v xml:space="preserve">N162AM  </v>
      </c>
      <c r="BC1236">
        <v>1</v>
      </c>
      <c r="BE1236">
        <v>0</v>
      </c>
      <c r="BF1236">
        <v>0</v>
      </c>
      <c r="BG1236">
        <v>0</v>
      </c>
      <c r="BI1236">
        <v>1</v>
      </c>
      <c r="BJ1236">
        <v>1</v>
      </c>
      <c r="BK1236">
        <v>1</v>
      </c>
      <c r="BL1236">
        <v>0</v>
      </c>
      <c r="BO1236">
        <v>0</v>
      </c>
      <c r="BP1236">
        <v>0</v>
      </c>
      <c r="BW1236" t="str">
        <f>"14:48:17.633"</f>
        <v>14:48:17.633</v>
      </c>
      <c r="CJ1236">
        <v>3</v>
      </c>
      <c r="CK1236">
        <v>2</v>
      </c>
      <c r="CL1236">
        <v>0</v>
      </c>
      <c r="CM1236">
        <v>2</v>
      </c>
      <c r="CN1236">
        <v>0</v>
      </c>
      <c r="CO1236">
        <v>1</v>
      </c>
      <c r="CP1236" t="s">
        <v>119</v>
      </c>
      <c r="CQ1236">
        <v>232</v>
      </c>
      <c r="CR1236">
        <v>2</v>
      </c>
      <c r="CW1236">
        <v>6541909</v>
      </c>
      <c r="CY1236">
        <v>0</v>
      </c>
      <c r="CZ1236">
        <v>0</v>
      </c>
      <c r="DA1236">
        <v>1</v>
      </c>
      <c r="DB1236">
        <v>0</v>
      </c>
      <c r="DC1236">
        <v>0</v>
      </c>
      <c r="DD1236">
        <v>1</v>
      </c>
      <c r="DE1236">
        <v>1</v>
      </c>
      <c r="DF1236">
        <v>1</v>
      </c>
      <c r="DG1236">
        <v>0</v>
      </c>
      <c r="DH1236">
        <v>0</v>
      </c>
      <c r="DI1236">
        <v>0</v>
      </c>
    </row>
    <row r="1237" spans="1:113" x14ac:dyDescent="0.3">
      <c r="A1237" t="str">
        <f>"12/16/2021 14:48:21.038"</f>
        <v>12/16/2021 14:48:21.038</v>
      </c>
      <c r="C1237" t="str">
        <f t="shared" ref="C1237:C1244" si="59">"FFDFD3C0"</f>
        <v>FFDFD3C0</v>
      </c>
      <c r="D1237" t="s">
        <v>113</v>
      </c>
      <c r="E1237">
        <v>8</v>
      </c>
      <c r="H1237">
        <v>176</v>
      </c>
      <c r="I1237" t="s">
        <v>114</v>
      </c>
      <c r="J1237" t="s">
        <v>115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"14:48:20.539"</f>
        <v>14:48:20.539</v>
      </c>
      <c r="T1237" t="str">
        <f>"14:48:16.439"</f>
        <v>14:48:16.439</v>
      </c>
      <c r="U1237" t="str">
        <f t="shared" si="57"/>
        <v>A0F928</v>
      </c>
      <c r="V1237">
        <v>0</v>
      </c>
      <c r="W1237">
        <v>0</v>
      </c>
      <c r="X1237">
        <v>2</v>
      </c>
      <c r="Z1237">
        <v>0</v>
      </c>
      <c r="AA1237">
        <v>9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2</v>
      </c>
      <c r="AH1237">
        <v>1</v>
      </c>
      <c r="AI1237" t="s">
        <v>701</v>
      </c>
      <c r="AJ1237">
        <v>35.825707999999999</v>
      </c>
      <c r="AK1237" t="s">
        <v>702</v>
      </c>
      <c r="AL1237">
        <v>-83.972775999999996</v>
      </c>
      <c r="AM1237">
        <v>25</v>
      </c>
      <c r="AN1237">
        <v>900</v>
      </c>
      <c r="AO1237" t="s">
        <v>118</v>
      </c>
      <c r="AP1237">
        <v>-63</v>
      </c>
      <c r="AQ1237">
        <v>-63</v>
      </c>
      <c r="AR1237">
        <v>-320</v>
      </c>
      <c r="AZ1237">
        <v>300</v>
      </c>
      <c r="BA1237">
        <v>1</v>
      </c>
      <c r="BB1237" t="str">
        <f t="shared" si="58"/>
        <v xml:space="preserve">N162AM  </v>
      </c>
      <c r="BC1237">
        <v>1</v>
      </c>
      <c r="BE1237">
        <v>0</v>
      </c>
      <c r="BF1237">
        <v>0</v>
      </c>
      <c r="BG1237">
        <v>0</v>
      </c>
      <c r="BH1237">
        <v>1175</v>
      </c>
      <c r="BI1237">
        <v>1</v>
      </c>
      <c r="BJ1237">
        <v>1</v>
      </c>
      <c r="BK1237">
        <v>1</v>
      </c>
      <c r="BL1237">
        <v>0</v>
      </c>
      <c r="BO1237">
        <v>0</v>
      </c>
      <c r="BP1237">
        <v>0</v>
      </c>
      <c r="BW1237" t="str">
        <f>"14:48:20.543"</f>
        <v>14:48:20.543</v>
      </c>
      <c r="CJ1237">
        <v>3</v>
      </c>
      <c r="CK1237">
        <v>2</v>
      </c>
      <c r="CL1237">
        <v>0</v>
      </c>
      <c r="CM1237">
        <v>2</v>
      </c>
      <c r="CN1237">
        <v>0</v>
      </c>
      <c r="CO1237">
        <v>2</v>
      </c>
      <c r="CP1237" t="s">
        <v>119</v>
      </c>
      <c r="CQ1237">
        <v>232</v>
      </c>
      <c r="CR1237">
        <v>1</v>
      </c>
      <c r="CW1237">
        <v>15350509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1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>"12/16/2021 14:48:21.038"</f>
        <v>12/16/2021 14:48:21.038</v>
      </c>
      <c r="C1238" t="str">
        <f t="shared" si="59"/>
        <v>FFDFD3C0</v>
      </c>
      <c r="D1238" t="s">
        <v>124</v>
      </c>
      <c r="E1238">
        <v>10</v>
      </c>
      <c r="F1238">
        <v>1010</v>
      </c>
      <c r="G1238" t="s">
        <v>130</v>
      </c>
      <c r="J1238" t="s">
        <v>125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"14:48:20.539"</f>
        <v>14:48:20.539</v>
      </c>
      <c r="T1238" t="str">
        <f>"14:48:16.439"</f>
        <v>14:48:16.439</v>
      </c>
      <c r="U1238" t="str">
        <f t="shared" si="57"/>
        <v>A0F928</v>
      </c>
      <c r="V1238">
        <v>0</v>
      </c>
      <c r="W1238">
        <v>0</v>
      </c>
      <c r="X1238">
        <v>2</v>
      </c>
      <c r="Z1238">
        <v>0</v>
      </c>
      <c r="AA1238">
        <v>9</v>
      </c>
      <c r="AB1238">
        <v>3</v>
      </c>
      <c r="AC1238">
        <v>0</v>
      </c>
      <c r="AD1238">
        <v>10</v>
      </c>
      <c r="AE1238">
        <v>0</v>
      </c>
      <c r="AF1238">
        <v>0</v>
      </c>
      <c r="AG1238">
        <v>2</v>
      </c>
      <c r="AH1238">
        <v>1</v>
      </c>
      <c r="AI1238" t="s">
        <v>701</v>
      </c>
      <c r="AJ1238">
        <v>35.825707999999999</v>
      </c>
      <c r="AK1238" t="s">
        <v>702</v>
      </c>
      <c r="AL1238">
        <v>-83.972775999999996</v>
      </c>
      <c r="AM1238">
        <v>25</v>
      </c>
      <c r="AN1238">
        <v>900</v>
      </c>
      <c r="AO1238" t="s">
        <v>118</v>
      </c>
      <c r="AP1238">
        <v>-63</v>
      </c>
      <c r="AQ1238">
        <v>-63</v>
      </c>
      <c r="AR1238">
        <v>-320</v>
      </c>
      <c r="AZ1238">
        <v>300</v>
      </c>
      <c r="BA1238">
        <v>1</v>
      </c>
      <c r="BB1238" t="str">
        <f t="shared" si="58"/>
        <v xml:space="preserve">N162AM  </v>
      </c>
      <c r="BC1238">
        <v>1</v>
      </c>
      <c r="BE1238">
        <v>0</v>
      </c>
      <c r="BF1238">
        <v>0</v>
      </c>
      <c r="BG1238">
        <v>0</v>
      </c>
      <c r="BH1238">
        <v>1175</v>
      </c>
      <c r="BI1238">
        <v>1</v>
      </c>
      <c r="BJ1238">
        <v>1</v>
      </c>
      <c r="BK1238">
        <v>1</v>
      </c>
      <c r="BL1238">
        <v>0</v>
      </c>
      <c r="BO1238">
        <v>0</v>
      </c>
      <c r="BP1238">
        <v>0</v>
      </c>
      <c r="BW1238" t="str">
        <f>"14:48:20.543"</f>
        <v>14:48:20.543</v>
      </c>
      <c r="CJ1238">
        <v>2</v>
      </c>
      <c r="CK1238">
        <v>2</v>
      </c>
      <c r="CL1238">
        <v>0</v>
      </c>
      <c r="CM1238">
        <v>2</v>
      </c>
      <c r="CN1238">
        <v>0</v>
      </c>
      <c r="CO1238">
        <v>2</v>
      </c>
      <c r="CP1238" t="s">
        <v>119</v>
      </c>
      <c r="CQ1238">
        <v>232</v>
      </c>
      <c r="CR1238">
        <v>1</v>
      </c>
      <c r="CW1238">
        <v>15350509</v>
      </c>
      <c r="CY1238">
        <v>0</v>
      </c>
      <c r="CZ1238">
        <v>0</v>
      </c>
      <c r="DA1238">
        <v>1</v>
      </c>
      <c r="DB1238">
        <v>0</v>
      </c>
      <c r="DC1238">
        <v>0</v>
      </c>
      <c r="DD1238">
        <v>1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>"12/16/2021 14:48:21.069"</f>
        <v>12/16/2021 14:48:21.069</v>
      </c>
      <c r="C1239" t="str">
        <f t="shared" si="59"/>
        <v>FFDFD3C0</v>
      </c>
      <c r="D1239" t="s">
        <v>124</v>
      </c>
      <c r="E1239">
        <v>5</v>
      </c>
      <c r="F1239">
        <v>1005</v>
      </c>
      <c r="G1239" t="s">
        <v>114</v>
      </c>
      <c r="J1239" t="s">
        <v>125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"14:48:20.539"</f>
        <v>14:48:20.539</v>
      </c>
      <c r="T1239" t="str">
        <f>"14:48:16.439"</f>
        <v>14:48:16.439</v>
      </c>
      <c r="U1239" t="str">
        <f t="shared" si="57"/>
        <v>A0F928</v>
      </c>
      <c r="V1239">
        <v>0</v>
      </c>
      <c r="W1239">
        <v>0</v>
      </c>
      <c r="X1239">
        <v>2</v>
      </c>
      <c r="Z1239">
        <v>0</v>
      </c>
      <c r="AA1239">
        <v>9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2</v>
      </c>
      <c r="AH1239">
        <v>1</v>
      </c>
      <c r="AI1239" t="s">
        <v>701</v>
      </c>
      <c r="AJ1239">
        <v>35.825707999999999</v>
      </c>
      <c r="AK1239" t="s">
        <v>702</v>
      </c>
      <c r="AL1239">
        <v>-83.972775999999996</v>
      </c>
      <c r="AM1239">
        <v>25</v>
      </c>
      <c r="AN1239">
        <v>900</v>
      </c>
      <c r="AO1239" t="s">
        <v>118</v>
      </c>
      <c r="AP1239">
        <v>-63</v>
      </c>
      <c r="AQ1239">
        <v>-63</v>
      </c>
      <c r="AR1239">
        <v>-320</v>
      </c>
      <c r="AZ1239">
        <v>300</v>
      </c>
      <c r="BA1239">
        <v>1</v>
      </c>
      <c r="BB1239" t="str">
        <f t="shared" si="58"/>
        <v xml:space="preserve">N162AM  </v>
      </c>
      <c r="BC1239">
        <v>1</v>
      </c>
      <c r="BE1239">
        <v>0</v>
      </c>
      <c r="BF1239">
        <v>0</v>
      </c>
      <c r="BG1239">
        <v>0</v>
      </c>
      <c r="BH1239">
        <v>1175</v>
      </c>
      <c r="BI1239">
        <v>1</v>
      </c>
      <c r="BJ1239">
        <v>1</v>
      </c>
      <c r="BK1239">
        <v>1</v>
      </c>
      <c r="BL1239">
        <v>0</v>
      </c>
      <c r="BO1239">
        <v>0</v>
      </c>
      <c r="BP1239">
        <v>0</v>
      </c>
      <c r="BW1239" t="str">
        <f>"14:48:20.543"</f>
        <v>14:48:20.543</v>
      </c>
      <c r="CJ1239">
        <v>3</v>
      </c>
      <c r="CK1239">
        <v>2</v>
      </c>
      <c r="CL1239">
        <v>0</v>
      </c>
      <c r="CM1239">
        <v>2</v>
      </c>
      <c r="CN1239">
        <v>0</v>
      </c>
      <c r="CO1239">
        <v>2</v>
      </c>
      <c r="CP1239" t="s">
        <v>119</v>
      </c>
      <c r="CQ1239">
        <v>232</v>
      </c>
      <c r="CR1239">
        <v>1</v>
      </c>
      <c r="CW1239">
        <v>15350509</v>
      </c>
      <c r="CY1239">
        <v>0</v>
      </c>
      <c r="CZ1239">
        <v>0</v>
      </c>
      <c r="DA1239">
        <v>1</v>
      </c>
      <c r="DB1239">
        <v>0</v>
      </c>
      <c r="DC1239">
        <v>0</v>
      </c>
      <c r="DD1239">
        <v>1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>"12/16/2021 14:48:21.069"</f>
        <v>12/16/2021 14:48:21.069</v>
      </c>
      <c r="C1240" t="str">
        <f t="shared" si="59"/>
        <v>FFDFD3C0</v>
      </c>
      <c r="D1240" t="s">
        <v>133</v>
      </c>
      <c r="E1240">
        <v>44</v>
      </c>
      <c r="H1240">
        <v>131</v>
      </c>
      <c r="I1240" t="s">
        <v>134</v>
      </c>
      <c r="J1240" t="s">
        <v>135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"14:48:20.539"</f>
        <v>14:48:20.539</v>
      </c>
      <c r="T1240" t="str">
        <f>"14:48:16.439"</f>
        <v>14:48:16.439</v>
      </c>
      <c r="U1240" t="str">
        <f t="shared" si="57"/>
        <v>A0F928</v>
      </c>
      <c r="V1240">
        <v>0</v>
      </c>
      <c r="W1240">
        <v>0</v>
      </c>
      <c r="X1240">
        <v>2</v>
      </c>
      <c r="Z1240">
        <v>0</v>
      </c>
      <c r="AA1240">
        <v>9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2</v>
      </c>
      <c r="AH1240">
        <v>1</v>
      </c>
      <c r="AI1240" t="s">
        <v>701</v>
      </c>
      <c r="AJ1240">
        <v>35.825707999999999</v>
      </c>
      <c r="AK1240" t="s">
        <v>702</v>
      </c>
      <c r="AL1240">
        <v>-83.972775999999996</v>
      </c>
      <c r="AM1240">
        <v>25</v>
      </c>
      <c r="AN1240">
        <v>900</v>
      </c>
      <c r="AO1240" t="s">
        <v>118</v>
      </c>
      <c r="AP1240">
        <v>-63</v>
      </c>
      <c r="AQ1240">
        <v>-63</v>
      </c>
      <c r="AR1240">
        <v>-320</v>
      </c>
      <c r="AZ1240">
        <v>300</v>
      </c>
      <c r="BA1240">
        <v>1</v>
      </c>
      <c r="BB1240" t="str">
        <f t="shared" si="58"/>
        <v xml:space="preserve">N162AM  </v>
      </c>
      <c r="BC1240">
        <v>1</v>
      </c>
      <c r="BE1240">
        <v>0</v>
      </c>
      <c r="BF1240">
        <v>0</v>
      </c>
      <c r="BG1240">
        <v>0</v>
      </c>
      <c r="BH1240">
        <v>1175</v>
      </c>
      <c r="BI1240">
        <v>1</v>
      </c>
      <c r="BJ1240">
        <v>1</v>
      </c>
      <c r="BK1240">
        <v>1</v>
      </c>
      <c r="BL1240">
        <v>0</v>
      </c>
      <c r="BO1240">
        <v>0</v>
      </c>
      <c r="BP1240">
        <v>0</v>
      </c>
      <c r="BW1240" t="str">
        <f>"14:48:20.543"</f>
        <v>14:48:20.543</v>
      </c>
      <c r="CJ1240">
        <v>3</v>
      </c>
      <c r="CK1240">
        <v>2</v>
      </c>
      <c r="CL1240">
        <v>0</v>
      </c>
      <c r="CM1240">
        <v>2</v>
      </c>
      <c r="CN1240">
        <v>0</v>
      </c>
      <c r="CO1240">
        <v>2</v>
      </c>
      <c r="CP1240" t="s">
        <v>119</v>
      </c>
      <c r="CQ1240">
        <v>232</v>
      </c>
      <c r="CR1240">
        <v>1</v>
      </c>
      <c r="CW1240">
        <v>15350509</v>
      </c>
      <c r="CY1240">
        <v>0</v>
      </c>
      <c r="CZ1240">
        <v>0</v>
      </c>
      <c r="DA1240">
        <v>1</v>
      </c>
      <c r="DB1240">
        <v>0</v>
      </c>
      <c r="DC1240">
        <v>0</v>
      </c>
      <c r="DD1240">
        <v>1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>"12/16/2021 14:48:22.444"</f>
        <v>12/16/2021 14:48:22.444</v>
      </c>
      <c r="C1241" t="str">
        <f t="shared" si="59"/>
        <v>FFDFD3C0</v>
      </c>
      <c r="D1241" t="s">
        <v>124</v>
      </c>
      <c r="E1241">
        <v>10</v>
      </c>
      <c r="F1241">
        <v>1010</v>
      </c>
      <c r="G1241" t="s">
        <v>130</v>
      </c>
      <c r="J1241" t="s">
        <v>125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"14:48:21.969"</f>
        <v>14:48:21.969</v>
      </c>
      <c r="T1241" t="str">
        <f>"14:48:21.569"</f>
        <v>14:48:21.569</v>
      </c>
      <c r="U1241" t="str">
        <f t="shared" si="57"/>
        <v>A0F928</v>
      </c>
      <c r="V1241">
        <v>0</v>
      </c>
      <c r="W1241">
        <v>0</v>
      </c>
      <c r="X1241">
        <v>2</v>
      </c>
      <c r="Z1241">
        <v>0</v>
      </c>
      <c r="AA1241">
        <v>9</v>
      </c>
      <c r="AB1241">
        <v>3</v>
      </c>
      <c r="AC1241">
        <v>0</v>
      </c>
      <c r="AD1241">
        <v>10</v>
      </c>
      <c r="AE1241">
        <v>0</v>
      </c>
      <c r="AF1241">
        <v>0</v>
      </c>
      <c r="AG1241">
        <v>2</v>
      </c>
      <c r="AH1241">
        <v>1</v>
      </c>
      <c r="AI1241" t="s">
        <v>703</v>
      </c>
      <c r="AJ1241">
        <v>35.825279000000002</v>
      </c>
      <c r="AK1241" t="s">
        <v>704</v>
      </c>
      <c r="AL1241">
        <v>-83.973312000000007</v>
      </c>
      <c r="AM1241">
        <v>25</v>
      </c>
      <c r="AN1241">
        <v>900</v>
      </c>
      <c r="AO1241" t="s">
        <v>118</v>
      </c>
      <c r="AP1241">
        <v>-62</v>
      </c>
      <c r="AQ1241">
        <v>-63</v>
      </c>
      <c r="AR1241">
        <v>-320</v>
      </c>
      <c r="AZ1241">
        <v>300</v>
      </c>
      <c r="BA1241">
        <v>1</v>
      </c>
      <c r="BB1241" t="str">
        <f t="shared" si="58"/>
        <v xml:space="preserve">N162AM  </v>
      </c>
      <c r="BC1241">
        <v>1</v>
      </c>
      <c r="BE1241">
        <v>0</v>
      </c>
      <c r="BF1241">
        <v>0</v>
      </c>
      <c r="BG1241">
        <v>0</v>
      </c>
      <c r="BH1241">
        <v>1150</v>
      </c>
      <c r="BI1241">
        <v>1</v>
      </c>
      <c r="BJ1241">
        <v>1</v>
      </c>
      <c r="BK1241">
        <v>1</v>
      </c>
      <c r="BL1241">
        <v>0</v>
      </c>
      <c r="BO1241">
        <v>0</v>
      </c>
      <c r="BP1241">
        <v>0</v>
      </c>
      <c r="BW1241" t="str">
        <f>"14:48:21.975"</f>
        <v>14:48:21.975</v>
      </c>
      <c r="CJ1241">
        <v>2</v>
      </c>
      <c r="CK1241">
        <v>2</v>
      </c>
      <c r="CL1241">
        <v>0</v>
      </c>
      <c r="CM1241">
        <v>2</v>
      </c>
      <c r="CN1241">
        <v>0</v>
      </c>
      <c r="CO1241">
        <v>2</v>
      </c>
      <c r="CP1241" t="s">
        <v>119</v>
      </c>
      <c r="CQ1241">
        <v>232</v>
      </c>
      <c r="CR1241">
        <v>1</v>
      </c>
      <c r="CW1241">
        <v>15352728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1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>"12/16/2021 14:48:22.444"</f>
        <v>12/16/2021 14:48:22.444</v>
      </c>
      <c r="C1242" t="str">
        <f t="shared" si="59"/>
        <v>FFDFD3C0</v>
      </c>
      <c r="D1242" t="s">
        <v>113</v>
      </c>
      <c r="E1242">
        <v>8</v>
      </c>
      <c r="H1242">
        <v>176</v>
      </c>
      <c r="I1242" t="s">
        <v>114</v>
      </c>
      <c r="J1242" t="s">
        <v>115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"14:48:21.969"</f>
        <v>14:48:21.969</v>
      </c>
      <c r="T1242" t="str">
        <f>"14:48:21.569"</f>
        <v>14:48:21.569</v>
      </c>
      <c r="U1242" t="str">
        <f t="shared" si="57"/>
        <v>A0F928</v>
      </c>
      <c r="V1242">
        <v>0</v>
      </c>
      <c r="W1242">
        <v>0</v>
      </c>
      <c r="X1242">
        <v>2</v>
      </c>
      <c r="Z1242">
        <v>0</v>
      </c>
      <c r="AA1242">
        <v>9</v>
      </c>
      <c r="AB1242">
        <v>3</v>
      </c>
      <c r="AC1242">
        <v>0</v>
      </c>
      <c r="AD1242">
        <v>10</v>
      </c>
      <c r="AE1242">
        <v>0</v>
      </c>
      <c r="AF1242">
        <v>3</v>
      </c>
      <c r="AG1242">
        <v>2</v>
      </c>
      <c r="AH1242">
        <v>1</v>
      </c>
      <c r="AI1242" t="s">
        <v>703</v>
      </c>
      <c r="AJ1242">
        <v>35.825279000000002</v>
      </c>
      <c r="AK1242" t="s">
        <v>704</v>
      </c>
      <c r="AL1242">
        <v>-83.973312000000007</v>
      </c>
      <c r="AM1242">
        <v>25</v>
      </c>
      <c r="AN1242">
        <v>900</v>
      </c>
      <c r="AO1242" t="s">
        <v>118</v>
      </c>
      <c r="AP1242">
        <v>-62</v>
      </c>
      <c r="AQ1242">
        <v>-63</v>
      </c>
      <c r="AR1242">
        <v>-320</v>
      </c>
      <c r="AZ1242">
        <v>300</v>
      </c>
      <c r="BA1242">
        <v>1</v>
      </c>
      <c r="BB1242" t="str">
        <f t="shared" si="58"/>
        <v xml:space="preserve">N162AM  </v>
      </c>
      <c r="BC1242">
        <v>1</v>
      </c>
      <c r="BE1242">
        <v>0</v>
      </c>
      <c r="BF1242">
        <v>0</v>
      </c>
      <c r="BG1242">
        <v>0</v>
      </c>
      <c r="BH1242">
        <v>1150</v>
      </c>
      <c r="BI1242">
        <v>1</v>
      </c>
      <c r="BJ1242">
        <v>1</v>
      </c>
      <c r="BK1242">
        <v>1</v>
      </c>
      <c r="BL1242">
        <v>0</v>
      </c>
      <c r="BO1242">
        <v>0</v>
      </c>
      <c r="BP1242">
        <v>0</v>
      </c>
      <c r="BW1242" t="str">
        <f>"14:48:21.975"</f>
        <v>14:48:21.975</v>
      </c>
      <c r="CJ1242">
        <v>3</v>
      </c>
      <c r="CK1242">
        <v>2</v>
      </c>
      <c r="CL1242">
        <v>0</v>
      </c>
      <c r="CM1242">
        <v>2</v>
      </c>
      <c r="CN1242">
        <v>0</v>
      </c>
      <c r="CO1242">
        <v>2</v>
      </c>
      <c r="CP1242" t="s">
        <v>119</v>
      </c>
      <c r="CQ1242">
        <v>232</v>
      </c>
      <c r="CR1242">
        <v>1</v>
      </c>
      <c r="CW1242">
        <v>15352728</v>
      </c>
      <c r="CY1242">
        <v>0</v>
      </c>
      <c r="CZ1242">
        <v>0</v>
      </c>
      <c r="DA1242">
        <v>1</v>
      </c>
      <c r="DB1242">
        <v>0</v>
      </c>
      <c r="DC1242">
        <v>0</v>
      </c>
      <c r="DD1242">
        <v>1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>"12/16/2021 14:48:22.444"</f>
        <v>12/16/2021 14:48:22.444</v>
      </c>
      <c r="C1243" t="str">
        <f t="shared" si="59"/>
        <v>FFDFD3C0</v>
      </c>
      <c r="D1243" t="s">
        <v>124</v>
      </c>
      <c r="E1243">
        <v>5</v>
      </c>
      <c r="F1243">
        <v>1005</v>
      </c>
      <c r="G1243" t="s">
        <v>114</v>
      </c>
      <c r="J1243" t="s">
        <v>125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"14:48:21.969"</f>
        <v>14:48:21.969</v>
      </c>
      <c r="T1243" t="str">
        <f>"14:48:21.569"</f>
        <v>14:48:21.569</v>
      </c>
      <c r="U1243" t="str">
        <f t="shared" si="57"/>
        <v>A0F928</v>
      </c>
      <c r="V1243">
        <v>0</v>
      </c>
      <c r="W1243">
        <v>0</v>
      </c>
      <c r="X1243">
        <v>2</v>
      </c>
      <c r="Z1243">
        <v>0</v>
      </c>
      <c r="AA1243">
        <v>9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2</v>
      </c>
      <c r="AH1243">
        <v>1</v>
      </c>
      <c r="AI1243" t="s">
        <v>703</v>
      </c>
      <c r="AJ1243">
        <v>35.825279000000002</v>
      </c>
      <c r="AK1243" t="s">
        <v>704</v>
      </c>
      <c r="AL1243">
        <v>-83.973312000000007</v>
      </c>
      <c r="AM1243">
        <v>25</v>
      </c>
      <c r="AN1243">
        <v>900</v>
      </c>
      <c r="AO1243" t="s">
        <v>118</v>
      </c>
      <c r="AP1243">
        <v>-62</v>
      </c>
      <c r="AQ1243">
        <v>-63</v>
      </c>
      <c r="AR1243">
        <v>-320</v>
      </c>
      <c r="AZ1243">
        <v>300</v>
      </c>
      <c r="BA1243">
        <v>1</v>
      </c>
      <c r="BB1243" t="str">
        <f t="shared" si="58"/>
        <v xml:space="preserve">N162AM  </v>
      </c>
      <c r="BC1243">
        <v>1</v>
      </c>
      <c r="BE1243">
        <v>0</v>
      </c>
      <c r="BF1243">
        <v>0</v>
      </c>
      <c r="BG1243">
        <v>0</v>
      </c>
      <c r="BH1243">
        <v>1150</v>
      </c>
      <c r="BI1243">
        <v>1</v>
      </c>
      <c r="BJ1243">
        <v>1</v>
      </c>
      <c r="BK1243">
        <v>1</v>
      </c>
      <c r="BL1243">
        <v>0</v>
      </c>
      <c r="BO1243">
        <v>0</v>
      </c>
      <c r="BP1243">
        <v>0</v>
      </c>
      <c r="BW1243" t="str">
        <f>"14:48:21.975"</f>
        <v>14:48:21.975</v>
      </c>
      <c r="CJ1243">
        <v>3</v>
      </c>
      <c r="CK1243">
        <v>2</v>
      </c>
      <c r="CL1243">
        <v>0</v>
      </c>
      <c r="CM1243">
        <v>2</v>
      </c>
      <c r="CN1243">
        <v>0</v>
      </c>
      <c r="CO1243">
        <v>2</v>
      </c>
      <c r="CP1243" t="s">
        <v>119</v>
      </c>
      <c r="CQ1243">
        <v>232</v>
      </c>
      <c r="CR1243">
        <v>1</v>
      </c>
      <c r="CW1243">
        <v>15352728</v>
      </c>
      <c r="CY1243">
        <v>0</v>
      </c>
      <c r="CZ1243">
        <v>0</v>
      </c>
      <c r="DA1243">
        <v>1</v>
      </c>
      <c r="DB1243">
        <v>0</v>
      </c>
      <c r="DC1243">
        <v>0</v>
      </c>
      <c r="DD1243">
        <v>1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>"12/16/2021 14:48:22.491"</f>
        <v>12/16/2021 14:48:22.491</v>
      </c>
      <c r="C1244" t="str">
        <f t="shared" si="59"/>
        <v>FFDFD3C0</v>
      </c>
      <c r="D1244" t="s">
        <v>133</v>
      </c>
      <c r="E1244">
        <v>44</v>
      </c>
      <c r="H1244">
        <v>131</v>
      </c>
      <c r="I1244" t="s">
        <v>134</v>
      </c>
      <c r="J1244" t="s">
        <v>135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"14:48:21.969"</f>
        <v>14:48:21.969</v>
      </c>
      <c r="T1244" t="str">
        <f>"14:48:21.569"</f>
        <v>14:48:21.569</v>
      </c>
      <c r="U1244" t="str">
        <f t="shared" si="57"/>
        <v>A0F928</v>
      </c>
      <c r="V1244">
        <v>0</v>
      </c>
      <c r="W1244">
        <v>0</v>
      </c>
      <c r="X1244">
        <v>2</v>
      </c>
      <c r="Z1244">
        <v>0</v>
      </c>
      <c r="AA1244">
        <v>9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2</v>
      </c>
      <c r="AH1244">
        <v>1</v>
      </c>
      <c r="AI1244" t="s">
        <v>703</v>
      </c>
      <c r="AJ1244">
        <v>35.825279000000002</v>
      </c>
      <c r="AK1244" t="s">
        <v>704</v>
      </c>
      <c r="AL1244">
        <v>-83.973312000000007</v>
      </c>
      <c r="AM1244">
        <v>25</v>
      </c>
      <c r="AN1244">
        <v>900</v>
      </c>
      <c r="AO1244" t="s">
        <v>118</v>
      </c>
      <c r="AP1244">
        <v>-62</v>
      </c>
      <c r="AQ1244">
        <v>-63</v>
      </c>
      <c r="AR1244">
        <v>-320</v>
      </c>
      <c r="AZ1244">
        <v>300</v>
      </c>
      <c r="BA1244">
        <v>1</v>
      </c>
      <c r="BB1244" t="str">
        <f t="shared" si="58"/>
        <v xml:space="preserve">N162AM  </v>
      </c>
      <c r="BC1244">
        <v>1</v>
      </c>
      <c r="BE1244">
        <v>0</v>
      </c>
      <c r="BF1244">
        <v>0</v>
      </c>
      <c r="BG1244">
        <v>0</v>
      </c>
      <c r="BH1244">
        <v>1150</v>
      </c>
      <c r="BI1244">
        <v>1</v>
      </c>
      <c r="BJ1244">
        <v>1</v>
      </c>
      <c r="BK1244">
        <v>1</v>
      </c>
      <c r="BL1244">
        <v>0</v>
      </c>
      <c r="BO1244">
        <v>0</v>
      </c>
      <c r="BP1244">
        <v>0</v>
      </c>
      <c r="BW1244" t="str">
        <f>"14:48:21.975"</f>
        <v>14:48:21.975</v>
      </c>
      <c r="CJ1244">
        <v>3</v>
      </c>
      <c r="CK1244">
        <v>2</v>
      </c>
      <c r="CL1244">
        <v>0</v>
      </c>
      <c r="CM1244">
        <v>2</v>
      </c>
      <c r="CN1244">
        <v>0</v>
      </c>
      <c r="CO1244">
        <v>2</v>
      </c>
      <c r="CP1244" t="s">
        <v>119</v>
      </c>
      <c r="CQ1244">
        <v>232</v>
      </c>
      <c r="CR1244">
        <v>1</v>
      </c>
      <c r="CW1244">
        <v>15352728</v>
      </c>
      <c r="CY1244">
        <v>0</v>
      </c>
      <c r="CZ1244">
        <v>0</v>
      </c>
      <c r="DA1244">
        <v>1</v>
      </c>
      <c r="DB1244">
        <v>0</v>
      </c>
      <c r="DC1244">
        <v>0</v>
      </c>
      <c r="DD1244">
        <v>1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>"12/16/2021 14:49:52.257"</f>
        <v>12/16/2021 14:49:52.257</v>
      </c>
      <c r="C1245" t="str">
        <f>"FFDF53C0"</f>
        <v>FFDF53C0</v>
      </c>
      <c r="D1245" t="s">
        <v>113</v>
      </c>
      <c r="E1245">
        <v>8</v>
      </c>
      <c r="H1245">
        <v>176</v>
      </c>
      <c r="I1245" t="s">
        <v>114</v>
      </c>
      <c r="J1245" t="s">
        <v>115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"14:49:51.742"</f>
        <v>14:49:51.742</v>
      </c>
      <c r="T1245" t="str">
        <f>"14:49:43.542"</f>
        <v>14:49:43.542</v>
      </c>
      <c r="U1245" t="str">
        <f t="shared" si="57"/>
        <v>A0F928</v>
      </c>
      <c r="V1245">
        <v>0</v>
      </c>
      <c r="W1245">
        <v>0</v>
      </c>
      <c r="X1245">
        <v>2</v>
      </c>
      <c r="Z1245">
        <v>0</v>
      </c>
      <c r="AA1245">
        <v>0</v>
      </c>
      <c r="AB1245">
        <v>0</v>
      </c>
      <c r="AC1245">
        <v>0</v>
      </c>
      <c r="AE1245">
        <v>0</v>
      </c>
      <c r="AF1245">
        <v>0</v>
      </c>
      <c r="AG1245">
        <v>2</v>
      </c>
      <c r="AH1245">
        <v>1</v>
      </c>
      <c r="AI1245" t="s">
        <v>705</v>
      </c>
      <c r="AJ1245">
        <v>35.796675999999998</v>
      </c>
      <c r="AK1245" t="s">
        <v>706</v>
      </c>
      <c r="AL1245">
        <v>-84.008245000000002</v>
      </c>
      <c r="AM1245">
        <v>25</v>
      </c>
      <c r="AN1245">
        <v>1050</v>
      </c>
      <c r="AO1245" t="s">
        <v>118</v>
      </c>
      <c r="AP1245">
        <v>-92</v>
      </c>
      <c r="AQ1245">
        <v>-90</v>
      </c>
      <c r="AR1245">
        <v>1152</v>
      </c>
      <c r="AZ1245">
        <v>1200</v>
      </c>
      <c r="BA1245">
        <v>0</v>
      </c>
      <c r="BB1245" t="str">
        <f t="shared" si="58"/>
        <v xml:space="preserve">N162AM  </v>
      </c>
      <c r="BC1245">
        <v>1</v>
      </c>
      <c r="BE1245">
        <v>0</v>
      </c>
      <c r="BF1245">
        <v>0</v>
      </c>
      <c r="BG1245">
        <v>0</v>
      </c>
      <c r="BI1245">
        <v>0</v>
      </c>
      <c r="BJ1245">
        <v>0</v>
      </c>
      <c r="BK1245">
        <v>0</v>
      </c>
      <c r="BL1245">
        <v>0</v>
      </c>
      <c r="BO1245">
        <v>0</v>
      </c>
      <c r="BP1245">
        <v>0</v>
      </c>
      <c r="BW1245" t="str">
        <f>"14:49:51.747"</f>
        <v>14:49:51.747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</v>
      </c>
      <c r="CP1245" t="s">
        <v>119</v>
      </c>
      <c r="CQ1245">
        <v>232</v>
      </c>
      <c r="CR1245">
        <v>2</v>
      </c>
      <c r="CW1245">
        <v>6687450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1</v>
      </c>
      <c r="DE1245">
        <v>1</v>
      </c>
      <c r="DF1245">
        <v>1</v>
      </c>
      <c r="DG1245">
        <v>1</v>
      </c>
      <c r="DH1245">
        <v>0</v>
      </c>
      <c r="DI1245">
        <v>1</v>
      </c>
    </row>
    <row r="1246" spans="1:113" x14ac:dyDescent="0.3">
      <c r="A1246" t="str">
        <f>"12/16/2021 14:49:56.234"</f>
        <v>12/16/2021 14:49:56.234</v>
      </c>
      <c r="C1246" t="str">
        <f t="shared" ref="C1246:C1277" si="60">"FFDFD3C0"</f>
        <v>FFDFD3C0</v>
      </c>
      <c r="D1246" t="s">
        <v>113</v>
      </c>
      <c r="E1246">
        <v>8</v>
      </c>
      <c r="H1246">
        <v>176</v>
      </c>
      <c r="I1246" t="s">
        <v>114</v>
      </c>
      <c r="J1246" t="s">
        <v>115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"14:49:56.023"</f>
        <v>14:49:56.023</v>
      </c>
      <c r="T1246" t="str">
        <f>"14:49:55.623"</f>
        <v>14:49:55.623</v>
      </c>
      <c r="U1246" t="str">
        <f t="shared" si="57"/>
        <v>A0F928</v>
      </c>
      <c r="V1246">
        <v>0</v>
      </c>
      <c r="W1246">
        <v>0</v>
      </c>
      <c r="X1246">
        <v>2</v>
      </c>
      <c r="Z1246">
        <v>0</v>
      </c>
      <c r="AA1246">
        <v>9</v>
      </c>
      <c r="AB1246">
        <v>3</v>
      </c>
      <c r="AC1246">
        <v>0</v>
      </c>
      <c r="AD1246">
        <v>10</v>
      </c>
      <c r="AE1246">
        <v>0</v>
      </c>
      <c r="AF1246">
        <v>0</v>
      </c>
      <c r="AG1246">
        <v>2</v>
      </c>
      <c r="AH1246">
        <v>1</v>
      </c>
      <c r="AI1246" t="s">
        <v>707</v>
      </c>
      <c r="AJ1246">
        <v>35.794786999999999</v>
      </c>
      <c r="AK1246" t="s">
        <v>708</v>
      </c>
      <c r="AL1246">
        <v>-84.010563000000005</v>
      </c>
      <c r="AM1246">
        <v>25</v>
      </c>
      <c r="AN1246">
        <v>1100</v>
      </c>
      <c r="AO1246" t="s">
        <v>118</v>
      </c>
      <c r="AP1246">
        <v>-94</v>
      </c>
      <c r="AQ1246">
        <v>-94</v>
      </c>
      <c r="AR1246">
        <v>1024</v>
      </c>
      <c r="AZ1246">
        <v>300</v>
      </c>
      <c r="BA1246">
        <v>1</v>
      </c>
      <c r="BB1246" t="str">
        <f t="shared" si="58"/>
        <v xml:space="preserve">N162AM  </v>
      </c>
      <c r="BC1246">
        <v>1</v>
      </c>
      <c r="BE1246">
        <v>0</v>
      </c>
      <c r="BF1246">
        <v>0</v>
      </c>
      <c r="BG1246">
        <v>0</v>
      </c>
      <c r="BH1246">
        <v>1350</v>
      </c>
      <c r="BI1246">
        <v>1</v>
      </c>
      <c r="BJ1246">
        <v>1</v>
      </c>
      <c r="BK1246">
        <v>1</v>
      </c>
      <c r="BL1246">
        <v>0</v>
      </c>
      <c r="BO1246">
        <v>0</v>
      </c>
      <c r="BP1246">
        <v>0</v>
      </c>
      <c r="BW1246" t="str">
        <f>"14:49:56.030"</f>
        <v>14:49:56.030</v>
      </c>
      <c r="CJ1246">
        <v>2</v>
      </c>
      <c r="CK1246">
        <v>2</v>
      </c>
      <c r="CL1246">
        <v>0</v>
      </c>
      <c r="CM1246">
        <v>2</v>
      </c>
      <c r="CN1246">
        <v>0</v>
      </c>
      <c r="CO1246">
        <v>2</v>
      </c>
      <c r="CP1246" t="s">
        <v>119</v>
      </c>
      <c r="CQ1246">
        <v>232</v>
      </c>
      <c r="CR1246">
        <v>2</v>
      </c>
      <c r="CW1246">
        <v>6694090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1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>"12/16/2021 14:49:56.234"</f>
        <v>12/16/2021 14:49:56.234</v>
      </c>
      <c r="C1247" t="str">
        <f t="shared" si="60"/>
        <v>FFDFD3C0</v>
      </c>
      <c r="D1247" t="s">
        <v>124</v>
      </c>
      <c r="E1247">
        <v>10</v>
      </c>
      <c r="F1247">
        <v>1010</v>
      </c>
      <c r="G1247" t="s">
        <v>130</v>
      </c>
      <c r="J1247" t="s">
        <v>125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"14:49:56.023"</f>
        <v>14:49:56.023</v>
      </c>
      <c r="T1247" t="str">
        <f>"14:49:55.623"</f>
        <v>14:49:55.623</v>
      </c>
      <c r="U1247" t="str">
        <f t="shared" si="57"/>
        <v>A0F928</v>
      </c>
      <c r="V1247">
        <v>0</v>
      </c>
      <c r="W1247">
        <v>0</v>
      </c>
      <c r="X1247">
        <v>2</v>
      </c>
      <c r="Z1247">
        <v>0</v>
      </c>
      <c r="AA1247">
        <v>9</v>
      </c>
      <c r="AB1247">
        <v>3</v>
      </c>
      <c r="AC1247">
        <v>0</v>
      </c>
      <c r="AD1247">
        <v>10</v>
      </c>
      <c r="AE1247">
        <v>0</v>
      </c>
      <c r="AF1247">
        <v>0</v>
      </c>
      <c r="AG1247">
        <v>2</v>
      </c>
      <c r="AH1247">
        <v>1</v>
      </c>
      <c r="AI1247" t="s">
        <v>707</v>
      </c>
      <c r="AJ1247">
        <v>35.794786999999999</v>
      </c>
      <c r="AK1247" t="s">
        <v>708</v>
      </c>
      <c r="AL1247">
        <v>-84.010563000000005</v>
      </c>
      <c r="AM1247">
        <v>25</v>
      </c>
      <c r="AN1247">
        <v>1100</v>
      </c>
      <c r="AO1247" t="s">
        <v>118</v>
      </c>
      <c r="AP1247">
        <v>-94</v>
      </c>
      <c r="AQ1247">
        <v>-94</v>
      </c>
      <c r="AR1247">
        <v>1024</v>
      </c>
      <c r="AZ1247">
        <v>300</v>
      </c>
      <c r="BA1247">
        <v>1</v>
      </c>
      <c r="BB1247" t="str">
        <f t="shared" si="58"/>
        <v xml:space="preserve">N162AM  </v>
      </c>
      <c r="BC1247">
        <v>1</v>
      </c>
      <c r="BE1247">
        <v>0</v>
      </c>
      <c r="BF1247">
        <v>0</v>
      </c>
      <c r="BG1247">
        <v>0</v>
      </c>
      <c r="BH1247">
        <v>1350</v>
      </c>
      <c r="BI1247">
        <v>1</v>
      </c>
      <c r="BJ1247">
        <v>1</v>
      </c>
      <c r="BK1247">
        <v>1</v>
      </c>
      <c r="BL1247">
        <v>0</v>
      </c>
      <c r="BO1247">
        <v>0</v>
      </c>
      <c r="BP1247">
        <v>0</v>
      </c>
      <c r="BW1247" t="str">
        <f>"14:49:56.030"</f>
        <v>14:49:56.030</v>
      </c>
      <c r="CJ1247">
        <v>2</v>
      </c>
      <c r="CK1247">
        <v>2</v>
      </c>
      <c r="CL1247">
        <v>0</v>
      </c>
      <c r="CM1247">
        <v>2</v>
      </c>
      <c r="CN1247">
        <v>0</v>
      </c>
      <c r="CO1247">
        <v>2</v>
      </c>
      <c r="CP1247" t="s">
        <v>119</v>
      </c>
      <c r="CQ1247">
        <v>232</v>
      </c>
      <c r="CR1247">
        <v>2</v>
      </c>
      <c r="CW1247">
        <v>6694090</v>
      </c>
      <c r="CY1247">
        <v>0</v>
      </c>
      <c r="CZ1247">
        <v>0</v>
      </c>
      <c r="DA1247">
        <v>1</v>
      </c>
      <c r="DB1247">
        <v>0</v>
      </c>
      <c r="DC1247">
        <v>0</v>
      </c>
      <c r="DD1247">
        <v>1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>"12/16/2021 14:49:56.234"</f>
        <v>12/16/2021 14:49:56.234</v>
      </c>
      <c r="C1248" t="str">
        <f t="shared" si="60"/>
        <v>FFDFD3C0</v>
      </c>
      <c r="D1248" t="s">
        <v>124</v>
      </c>
      <c r="E1248">
        <v>5</v>
      </c>
      <c r="F1248">
        <v>1005</v>
      </c>
      <c r="G1248" t="s">
        <v>114</v>
      </c>
      <c r="J1248" t="s">
        <v>125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"14:49:56.023"</f>
        <v>14:49:56.023</v>
      </c>
      <c r="T1248" t="str">
        <f>"14:49:55.623"</f>
        <v>14:49:55.623</v>
      </c>
      <c r="U1248" t="str">
        <f t="shared" si="57"/>
        <v>A0F928</v>
      </c>
      <c r="V1248">
        <v>0</v>
      </c>
      <c r="W1248">
        <v>0</v>
      </c>
      <c r="X1248">
        <v>2</v>
      </c>
      <c r="Z1248">
        <v>0</v>
      </c>
      <c r="AA1248">
        <v>9</v>
      </c>
      <c r="AB1248">
        <v>3</v>
      </c>
      <c r="AC1248">
        <v>0</v>
      </c>
      <c r="AD1248">
        <v>10</v>
      </c>
      <c r="AE1248">
        <v>0</v>
      </c>
      <c r="AF1248">
        <v>0</v>
      </c>
      <c r="AG1248">
        <v>2</v>
      </c>
      <c r="AH1248">
        <v>1</v>
      </c>
      <c r="AI1248" t="s">
        <v>707</v>
      </c>
      <c r="AJ1248">
        <v>35.794786999999999</v>
      </c>
      <c r="AK1248" t="s">
        <v>708</v>
      </c>
      <c r="AL1248">
        <v>-84.010563000000005</v>
      </c>
      <c r="AM1248">
        <v>25</v>
      </c>
      <c r="AN1248">
        <v>1100</v>
      </c>
      <c r="AO1248" t="s">
        <v>118</v>
      </c>
      <c r="AP1248">
        <v>-94</v>
      </c>
      <c r="AQ1248">
        <v>-94</v>
      </c>
      <c r="AR1248">
        <v>1024</v>
      </c>
      <c r="AZ1248">
        <v>300</v>
      </c>
      <c r="BA1248">
        <v>1</v>
      </c>
      <c r="BB1248" t="str">
        <f t="shared" si="58"/>
        <v xml:space="preserve">N162AM  </v>
      </c>
      <c r="BC1248">
        <v>1</v>
      </c>
      <c r="BE1248">
        <v>0</v>
      </c>
      <c r="BF1248">
        <v>0</v>
      </c>
      <c r="BG1248">
        <v>0</v>
      </c>
      <c r="BH1248">
        <v>1350</v>
      </c>
      <c r="BI1248">
        <v>1</v>
      </c>
      <c r="BJ1248">
        <v>1</v>
      </c>
      <c r="BK1248">
        <v>1</v>
      </c>
      <c r="BL1248">
        <v>0</v>
      </c>
      <c r="BO1248">
        <v>0</v>
      </c>
      <c r="BP1248">
        <v>0</v>
      </c>
      <c r="BW1248" t="str">
        <f>"14:49:56.030"</f>
        <v>14:49:56.030</v>
      </c>
      <c r="CJ1248">
        <v>2</v>
      </c>
      <c r="CK1248">
        <v>2</v>
      </c>
      <c r="CL1248">
        <v>0</v>
      </c>
      <c r="CM1248">
        <v>2</v>
      </c>
      <c r="CN1248">
        <v>0</v>
      </c>
      <c r="CO1248">
        <v>2</v>
      </c>
      <c r="CP1248" t="s">
        <v>119</v>
      </c>
      <c r="CQ1248">
        <v>232</v>
      </c>
      <c r="CR1248">
        <v>2</v>
      </c>
      <c r="CW1248">
        <v>6694090</v>
      </c>
      <c r="CY1248">
        <v>0</v>
      </c>
      <c r="CZ1248">
        <v>0</v>
      </c>
      <c r="DA1248">
        <v>1</v>
      </c>
      <c r="DB1248">
        <v>0</v>
      </c>
      <c r="DC1248">
        <v>0</v>
      </c>
      <c r="DD1248">
        <v>1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>"12/16/2021 14:49:56.234"</f>
        <v>12/16/2021 14:49:56.234</v>
      </c>
      <c r="C1249" t="str">
        <f t="shared" si="60"/>
        <v>FFDFD3C0</v>
      </c>
      <c r="D1249" t="s">
        <v>133</v>
      </c>
      <c r="E1249">
        <v>44</v>
      </c>
      <c r="H1249">
        <v>131</v>
      </c>
      <c r="I1249" t="s">
        <v>134</v>
      </c>
      <c r="J1249" t="s">
        <v>135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"14:49:56.023"</f>
        <v>14:49:56.023</v>
      </c>
      <c r="T1249" t="str">
        <f>"14:49:55.623"</f>
        <v>14:49:55.623</v>
      </c>
      <c r="U1249" t="str">
        <f t="shared" si="57"/>
        <v>A0F928</v>
      </c>
      <c r="V1249">
        <v>0</v>
      </c>
      <c r="W1249">
        <v>0</v>
      </c>
      <c r="X1249">
        <v>2</v>
      </c>
      <c r="Z1249">
        <v>0</v>
      </c>
      <c r="AA1249">
        <v>9</v>
      </c>
      <c r="AB1249">
        <v>3</v>
      </c>
      <c r="AC1249">
        <v>0</v>
      </c>
      <c r="AD1249">
        <v>10</v>
      </c>
      <c r="AE1249">
        <v>0</v>
      </c>
      <c r="AF1249">
        <v>0</v>
      </c>
      <c r="AG1249">
        <v>2</v>
      </c>
      <c r="AH1249">
        <v>1</v>
      </c>
      <c r="AI1249" t="s">
        <v>707</v>
      </c>
      <c r="AJ1249">
        <v>35.794786999999999</v>
      </c>
      <c r="AK1249" t="s">
        <v>708</v>
      </c>
      <c r="AL1249">
        <v>-84.010563000000005</v>
      </c>
      <c r="AM1249">
        <v>25</v>
      </c>
      <c r="AN1249">
        <v>1100</v>
      </c>
      <c r="AO1249" t="s">
        <v>118</v>
      </c>
      <c r="AP1249">
        <v>-94</v>
      </c>
      <c r="AQ1249">
        <v>-94</v>
      </c>
      <c r="AR1249">
        <v>1024</v>
      </c>
      <c r="AZ1249">
        <v>300</v>
      </c>
      <c r="BA1249">
        <v>1</v>
      </c>
      <c r="BB1249" t="str">
        <f t="shared" si="58"/>
        <v xml:space="preserve">N162AM  </v>
      </c>
      <c r="BC1249">
        <v>1</v>
      </c>
      <c r="BE1249">
        <v>0</v>
      </c>
      <c r="BF1249">
        <v>0</v>
      </c>
      <c r="BG1249">
        <v>0</v>
      </c>
      <c r="BH1249">
        <v>1350</v>
      </c>
      <c r="BI1249">
        <v>1</v>
      </c>
      <c r="BJ1249">
        <v>1</v>
      </c>
      <c r="BK1249">
        <v>1</v>
      </c>
      <c r="BL1249">
        <v>0</v>
      </c>
      <c r="BO1249">
        <v>0</v>
      </c>
      <c r="BP1249">
        <v>0</v>
      </c>
      <c r="BW1249" t="str">
        <f>"14:49:56.030"</f>
        <v>14:49:56.030</v>
      </c>
      <c r="CJ1249">
        <v>2</v>
      </c>
      <c r="CK1249">
        <v>2</v>
      </c>
      <c r="CL1249">
        <v>0</v>
      </c>
      <c r="CM1249">
        <v>2</v>
      </c>
      <c r="CN1249">
        <v>0</v>
      </c>
      <c r="CO1249">
        <v>2</v>
      </c>
      <c r="CP1249" t="s">
        <v>119</v>
      </c>
      <c r="CQ1249">
        <v>232</v>
      </c>
      <c r="CR1249">
        <v>2</v>
      </c>
      <c r="CW1249">
        <v>6694090</v>
      </c>
      <c r="CY1249">
        <v>0</v>
      </c>
      <c r="CZ1249">
        <v>0</v>
      </c>
      <c r="DA1249">
        <v>1</v>
      </c>
      <c r="DB1249">
        <v>0</v>
      </c>
      <c r="DC1249">
        <v>0</v>
      </c>
      <c r="DD1249">
        <v>1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>"12/16/2021 14:49:57.266"</f>
        <v>12/16/2021 14:49:57.266</v>
      </c>
      <c r="C1250" t="str">
        <f t="shared" si="60"/>
        <v>FFDFD3C0</v>
      </c>
      <c r="D1250" t="s">
        <v>113</v>
      </c>
      <c r="E1250">
        <v>8</v>
      </c>
      <c r="H1250">
        <v>176</v>
      </c>
      <c r="I1250" t="s">
        <v>114</v>
      </c>
      <c r="J1250" t="s">
        <v>115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"14:49:57.016"</f>
        <v>14:49:57.016</v>
      </c>
      <c r="T1250" t="str">
        <f>"14:49:56.116"</f>
        <v>14:49:56.116</v>
      </c>
      <c r="U1250" t="str">
        <f t="shared" si="57"/>
        <v>A0F928</v>
      </c>
      <c r="V1250">
        <v>0</v>
      </c>
      <c r="W1250">
        <v>0</v>
      </c>
      <c r="X1250">
        <v>2</v>
      </c>
      <c r="Z1250">
        <v>0</v>
      </c>
      <c r="AA1250">
        <v>9</v>
      </c>
      <c r="AB1250">
        <v>3</v>
      </c>
      <c r="AC1250">
        <v>0</v>
      </c>
      <c r="AD1250">
        <v>10</v>
      </c>
      <c r="AE1250">
        <v>0</v>
      </c>
      <c r="AF1250">
        <v>0</v>
      </c>
      <c r="AG1250">
        <v>2</v>
      </c>
      <c r="AH1250">
        <v>1</v>
      </c>
      <c r="AI1250" t="s">
        <v>709</v>
      </c>
      <c r="AJ1250">
        <v>35.794379999999997</v>
      </c>
      <c r="AK1250" t="s">
        <v>710</v>
      </c>
      <c r="AL1250">
        <v>-84.011077999999998</v>
      </c>
      <c r="AM1250">
        <v>25</v>
      </c>
      <c r="AN1250">
        <v>1125</v>
      </c>
      <c r="AO1250" t="s">
        <v>118</v>
      </c>
      <c r="AP1250">
        <v>-94</v>
      </c>
      <c r="AQ1250">
        <v>-94</v>
      </c>
      <c r="AR1250">
        <v>1088</v>
      </c>
      <c r="AZ1250">
        <v>300</v>
      </c>
      <c r="BA1250">
        <v>1</v>
      </c>
      <c r="BB1250" t="str">
        <f t="shared" si="58"/>
        <v xml:space="preserve">N162AM  </v>
      </c>
      <c r="BC1250">
        <v>1</v>
      </c>
      <c r="BE1250">
        <v>0</v>
      </c>
      <c r="BF1250">
        <v>0</v>
      </c>
      <c r="BG1250">
        <v>0</v>
      </c>
      <c r="BH1250">
        <v>1350</v>
      </c>
      <c r="BI1250">
        <v>1</v>
      </c>
      <c r="BJ1250">
        <v>1</v>
      </c>
      <c r="BK1250">
        <v>1</v>
      </c>
      <c r="BL1250">
        <v>0</v>
      </c>
      <c r="BO1250">
        <v>0</v>
      </c>
      <c r="BP1250">
        <v>0</v>
      </c>
      <c r="BW1250" t="str">
        <f>"14:49:57.016"</f>
        <v>14:49:57.016</v>
      </c>
      <c r="CJ1250">
        <v>2</v>
      </c>
      <c r="CK1250">
        <v>2</v>
      </c>
      <c r="CL1250">
        <v>0</v>
      </c>
      <c r="CM1250">
        <v>2</v>
      </c>
      <c r="CN1250">
        <v>0</v>
      </c>
      <c r="CO1250">
        <v>2</v>
      </c>
      <c r="CP1250" t="s">
        <v>119</v>
      </c>
      <c r="CQ1250">
        <v>232</v>
      </c>
      <c r="CR1250">
        <v>2</v>
      </c>
      <c r="CW1250">
        <v>6695645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1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>"12/16/2021 14:49:57.266"</f>
        <v>12/16/2021 14:49:57.266</v>
      </c>
      <c r="C1251" t="str">
        <f t="shared" si="60"/>
        <v>FFDFD3C0</v>
      </c>
      <c r="D1251" t="s">
        <v>124</v>
      </c>
      <c r="E1251">
        <v>5</v>
      </c>
      <c r="F1251">
        <v>1005</v>
      </c>
      <c r="G1251" t="s">
        <v>114</v>
      </c>
      <c r="J1251" t="s">
        <v>125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"14:49:57.016"</f>
        <v>14:49:57.016</v>
      </c>
      <c r="T1251" t="str">
        <f>"14:49:56.116"</f>
        <v>14:49:56.116</v>
      </c>
      <c r="U1251" t="str">
        <f t="shared" si="57"/>
        <v>A0F928</v>
      </c>
      <c r="V1251">
        <v>0</v>
      </c>
      <c r="W1251">
        <v>0</v>
      </c>
      <c r="X1251">
        <v>2</v>
      </c>
      <c r="Z1251">
        <v>0</v>
      </c>
      <c r="AA1251">
        <v>9</v>
      </c>
      <c r="AB1251">
        <v>3</v>
      </c>
      <c r="AC1251">
        <v>0</v>
      </c>
      <c r="AD1251">
        <v>10</v>
      </c>
      <c r="AE1251">
        <v>0</v>
      </c>
      <c r="AF1251">
        <v>0</v>
      </c>
      <c r="AG1251">
        <v>2</v>
      </c>
      <c r="AH1251">
        <v>1</v>
      </c>
      <c r="AI1251" t="s">
        <v>709</v>
      </c>
      <c r="AJ1251">
        <v>35.794379999999997</v>
      </c>
      <c r="AK1251" t="s">
        <v>710</v>
      </c>
      <c r="AL1251">
        <v>-84.011077999999998</v>
      </c>
      <c r="AM1251">
        <v>25</v>
      </c>
      <c r="AN1251">
        <v>1125</v>
      </c>
      <c r="AO1251" t="s">
        <v>118</v>
      </c>
      <c r="AP1251">
        <v>-94</v>
      </c>
      <c r="AQ1251">
        <v>-94</v>
      </c>
      <c r="AR1251">
        <v>1088</v>
      </c>
      <c r="AZ1251">
        <v>300</v>
      </c>
      <c r="BA1251">
        <v>1</v>
      </c>
      <c r="BB1251" t="str">
        <f t="shared" si="58"/>
        <v xml:space="preserve">N162AM  </v>
      </c>
      <c r="BC1251">
        <v>1</v>
      </c>
      <c r="BE1251">
        <v>0</v>
      </c>
      <c r="BF1251">
        <v>0</v>
      </c>
      <c r="BG1251">
        <v>0</v>
      </c>
      <c r="BH1251">
        <v>1350</v>
      </c>
      <c r="BI1251">
        <v>1</v>
      </c>
      <c r="BJ1251">
        <v>1</v>
      </c>
      <c r="BK1251">
        <v>1</v>
      </c>
      <c r="BL1251">
        <v>0</v>
      </c>
      <c r="BO1251">
        <v>0</v>
      </c>
      <c r="BP1251">
        <v>0</v>
      </c>
      <c r="BW1251" t="str">
        <f>"14:49:57.016"</f>
        <v>14:49:57.016</v>
      </c>
      <c r="CJ1251">
        <v>2</v>
      </c>
      <c r="CK1251">
        <v>2</v>
      </c>
      <c r="CL1251">
        <v>0</v>
      </c>
      <c r="CM1251">
        <v>2</v>
      </c>
      <c r="CN1251">
        <v>0</v>
      </c>
      <c r="CO1251">
        <v>2</v>
      </c>
      <c r="CP1251" t="s">
        <v>119</v>
      </c>
      <c r="CQ1251">
        <v>232</v>
      </c>
      <c r="CR1251">
        <v>2</v>
      </c>
      <c r="CW1251">
        <v>6695645</v>
      </c>
      <c r="CY1251">
        <v>0</v>
      </c>
      <c r="CZ1251">
        <v>0</v>
      </c>
      <c r="DA1251">
        <v>1</v>
      </c>
      <c r="DB1251">
        <v>0</v>
      </c>
      <c r="DC1251">
        <v>0</v>
      </c>
      <c r="DD1251">
        <v>1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>"12/16/2021 14:49:57.266"</f>
        <v>12/16/2021 14:49:57.266</v>
      </c>
      <c r="C1252" t="str">
        <f t="shared" si="60"/>
        <v>FFDFD3C0</v>
      </c>
      <c r="D1252" t="s">
        <v>124</v>
      </c>
      <c r="E1252">
        <v>10</v>
      </c>
      <c r="F1252">
        <v>1010</v>
      </c>
      <c r="G1252" t="s">
        <v>130</v>
      </c>
      <c r="J1252" t="s">
        <v>125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"14:49:57.016"</f>
        <v>14:49:57.016</v>
      </c>
      <c r="T1252" t="str">
        <f>"14:49:56.116"</f>
        <v>14:49:56.116</v>
      </c>
      <c r="U1252" t="str">
        <f t="shared" si="57"/>
        <v>A0F928</v>
      </c>
      <c r="V1252">
        <v>0</v>
      </c>
      <c r="W1252">
        <v>0</v>
      </c>
      <c r="X1252">
        <v>2</v>
      </c>
      <c r="Z1252">
        <v>0</v>
      </c>
      <c r="AA1252">
        <v>9</v>
      </c>
      <c r="AB1252">
        <v>3</v>
      </c>
      <c r="AC1252">
        <v>0</v>
      </c>
      <c r="AD1252">
        <v>10</v>
      </c>
      <c r="AE1252">
        <v>0</v>
      </c>
      <c r="AF1252">
        <v>0</v>
      </c>
      <c r="AG1252">
        <v>2</v>
      </c>
      <c r="AH1252">
        <v>1</v>
      </c>
      <c r="AI1252" t="s">
        <v>709</v>
      </c>
      <c r="AJ1252">
        <v>35.794379999999997</v>
      </c>
      <c r="AK1252" t="s">
        <v>710</v>
      </c>
      <c r="AL1252">
        <v>-84.011077999999998</v>
      </c>
      <c r="AM1252">
        <v>25</v>
      </c>
      <c r="AN1252">
        <v>1125</v>
      </c>
      <c r="AO1252" t="s">
        <v>118</v>
      </c>
      <c r="AP1252">
        <v>-94</v>
      </c>
      <c r="AQ1252">
        <v>-94</v>
      </c>
      <c r="AR1252">
        <v>1088</v>
      </c>
      <c r="AZ1252">
        <v>300</v>
      </c>
      <c r="BA1252">
        <v>1</v>
      </c>
      <c r="BB1252" t="str">
        <f t="shared" si="58"/>
        <v xml:space="preserve">N162AM  </v>
      </c>
      <c r="BC1252">
        <v>1</v>
      </c>
      <c r="BE1252">
        <v>0</v>
      </c>
      <c r="BF1252">
        <v>0</v>
      </c>
      <c r="BG1252">
        <v>0</v>
      </c>
      <c r="BH1252">
        <v>1350</v>
      </c>
      <c r="BI1252">
        <v>1</v>
      </c>
      <c r="BJ1252">
        <v>1</v>
      </c>
      <c r="BK1252">
        <v>1</v>
      </c>
      <c r="BL1252">
        <v>0</v>
      </c>
      <c r="BO1252">
        <v>0</v>
      </c>
      <c r="BP1252">
        <v>0</v>
      </c>
      <c r="BW1252" t="str">
        <f>"14:49:57.016"</f>
        <v>14:49:57.016</v>
      </c>
      <c r="CJ1252">
        <v>2</v>
      </c>
      <c r="CK1252">
        <v>2</v>
      </c>
      <c r="CL1252">
        <v>0</v>
      </c>
      <c r="CM1252">
        <v>2</v>
      </c>
      <c r="CN1252">
        <v>0</v>
      </c>
      <c r="CO1252">
        <v>2</v>
      </c>
      <c r="CP1252" t="s">
        <v>119</v>
      </c>
      <c r="CQ1252">
        <v>232</v>
      </c>
      <c r="CR1252">
        <v>2</v>
      </c>
      <c r="CW1252">
        <v>6695645</v>
      </c>
      <c r="CY1252">
        <v>0</v>
      </c>
      <c r="CZ1252">
        <v>0</v>
      </c>
      <c r="DA1252">
        <v>1</v>
      </c>
      <c r="DB1252">
        <v>0</v>
      </c>
      <c r="DC1252">
        <v>0</v>
      </c>
      <c r="DD1252">
        <v>1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>"12/16/2021 14:49:57.266"</f>
        <v>12/16/2021 14:49:57.266</v>
      </c>
      <c r="C1253" t="str">
        <f t="shared" si="60"/>
        <v>FFDFD3C0</v>
      </c>
      <c r="D1253" t="s">
        <v>133</v>
      </c>
      <c r="E1253">
        <v>44</v>
      </c>
      <c r="H1253">
        <v>131</v>
      </c>
      <c r="I1253" t="s">
        <v>134</v>
      </c>
      <c r="J1253" t="s">
        <v>135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"14:49:57.016"</f>
        <v>14:49:57.016</v>
      </c>
      <c r="T1253" t="str">
        <f>"14:49:56.116"</f>
        <v>14:49:56.116</v>
      </c>
      <c r="U1253" t="str">
        <f t="shared" si="57"/>
        <v>A0F928</v>
      </c>
      <c r="V1253">
        <v>0</v>
      </c>
      <c r="W1253">
        <v>0</v>
      </c>
      <c r="X1253">
        <v>2</v>
      </c>
      <c r="Z1253">
        <v>0</v>
      </c>
      <c r="AA1253">
        <v>9</v>
      </c>
      <c r="AB1253">
        <v>3</v>
      </c>
      <c r="AC1253">
        <v>0</v>
      </c>
      <c r="AD1253">
        <v>10</v>
      </c>
      <c r="AE1253">
        <v>0</v>
      </c>
      <c r="AF1253">
        <v>0</v>
      </c>
      <c r="AG1253">
        <v>2</v>
      </c>
      <c r="AH1253">
        <v>1</v>
      </c>
      <c r="AI1253" t="s">
        <v>709</v>
      </c>
      <c r="AJ1253">
        <v>35.794379999999997</v>
      </c>
      <c r="AK1253" t="s">
        <v>710</v>
      </c>
      <c r="AL1253">
        <v>-84.011077999999998</v>
      </c>
      <c r="AM1253">
        <v>25</v>
      </c>
      <c r="AN1253">
        <v>1125</v>
      </c>
      <c r="AO1253" t="s">
        <v>118</v>
      </c>
      <c r="AP1253">
        <v>-94</v>
      </c>
      <c r="AQ1253">
        <v>-94</v>
      </c>
      <c r="AR1253">
        <v>1088</v>
      </c>
      <c r="AZ1253">
        <v>300</v>
      </c>
      <c r="BA1253">
        <v>1</v>
      </c>
      <c r="BB1253" t="str">
        <f t="shared" si="58"/>
        <v xml:space="preserve">N162AM  </v>
      </c>
      <c r="BC1253">
        <v>1</v>
      </c>
      <c r="BE1253">
        <v>0</v>
      </c>
      <c r="BF1253">
        <v>0</v>
      </c>
      <c r="BG1253">
        <v>0</v>
      </c>
      <c r="BH1253">
        <v>1350</v>
      </c>
      <c r="BI1253">
        <v>1</v>
      </c>
      <c r="BJ1253">
        <v>1</v>
      </c>
      <c r="BK1253">
        <v>1</v>
      </c>
      <c r="BL1253">
        <v>0</v>
      </c>
      <c r="BO1253">
        <v>0</v>
      </c>
      <c r="BP1253">
        <v>0</v>
      </c>
      <c r="BW1253" t="str">
        <f>"14:49:57.016"</f>
        <v>14:49:57.016</v>
      </c>
      <c r="CJ1253">
        <v>2</v>
      </c>
      <c r="CK1253">
        <v>2</v>
      </c>
      <c r="CL1253">
        <v>0</v>
      </c>
      <c r="CM1253">
        <v>2</v>
      </c>
      <c r="CN1253">
        <v>0</v>
      </c>
      <c r="CO1253">
        <v>2</v>
      </c>
      <c r="CP1253" t="s">
        <v>119</v>
      </c>
      <c r="CQ1253">
        <v>232</v>
      </c>
      <c r="CR1253">
        <v>2</v>
      </c>
      <c r="CW1253">
        <v>6695645</v>
      </c>
      <c r="CY1253">
        <v>0</v>
      </c>
      <c r="CZ1253">
        <v>0</v>
      </c>
      <c r="DA1253">
        <v>1</v>
      </c>
      <c r="DB1253">
        <v>0</v>
      </c>
      <c r="DC1253">
        <v>0</v>
      </c>
      <c r="DD1253">
        <v>1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>"12/16/2021 14:49:58.719"</f>
        <v>12/16/2021 14:49:58.719</v>
      </c>
      <c r="C1254" t="str">
        <f t="shared" si="60"/>
        <v>FFDFD3C0</v>
      </c>
      <c r="D1254" t="s">
        <v>133</v>
      </c>
      <c r="E1254">
        <v>44</v>
      </c>
      <c r="H1254">
        <v>131</v>
      </c>
      <c r="I1254" t="s">
        <v>134</v>
      </c>
      <c r="J1254" t="s">
        <v>135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"14:49:58.539"</f>
        <v>14:49:58.539</v>
      </c>
      <c r="T1254" t="str">
        <f>"14:49:58.039"</f>
        <v>14:49:58.039</v>
      </c>
      <c r="U1254" t="str">
        <f t="shared" si="57"/>
        <v>A0F928</v>
      </c>
      <c r="V1254">
        <v>0</v>
      </c>
      <c r="W1254">
        <v>0</v>
      </c>
      <c r="X1254">
        <v>2</v>
      </c>
      <c r="Z1254">
        <v>0</v>
      </c>
      <c r="AA1254">
        <v>9</v>
      </c>
      <c r="AB1254">
        <v>3</v>
      </c>
      <c r="AC1254">
        <v>0</v>
      </c>
      <c r="AD1254">
        <v>10</v>
      </c>
      <c r="AE1254">
        <v>0</v>
      </c>
      <c r="AF1254">
        <v>0</v>
      </c>
      <c r="AG1254">
        <v>2</v>
      </c>
      <c r="AH1254">
        <v>1</v>
      </c>
      <c r="AI1254" t="s">
        <v>146</v>
      </c>
      <c r="AJ1254">
        <v>35.793736000000003</v>
      </c>
      <c r="AK1254" t="s">
        <v>711</v>
      </c>
      <c r="AL1254">
        <v>-84.011915000000002</v>
      </c>
      <c r="AM1254">
        <v>25</v>
      </c>
      <c r="AN1254">
        <v>1175</v>
      </c>
      <c r="AO1254" t="s">
        <v>118</v>
      </c>
      <c r="AP1254">
        <v>-95</v>
      </c>
      <c r="AQ1254">
        <v>-94</v>
      </c>
      <c r="AR1254">
        <v>1088</v>
      </c>
      <c r="AZ1254">
        <v>300</v>
      </c>
      <c r="BA1254">
        <v>1</v>
      </c>
      <c r="BB1254" t="str">
        <f t="shared" si="58"/>
        <v xml:space="preserve">N162AM  </v>
      </c>
      <c r="BC1254">
        <v>1</v>
      </c>
      <c r="BE1254">
        <v>0</v>
      </c>
      <c r="BF1254">
        <v>0</v>
      </c>
      <c r="BG1254">
        <v>0</v>
      </c>
      <c r="BH1254">
        <v>1400</v>
      </c>
      <c r="BI1254">
        <v>1</v>
      </c>
      <c r="BJ1254">
        <v>1</v>
      </c>
      <c r="BK1254">
        <v>1</v>
      </c>
      <c r="BL1254">
        <v>0</v>
      </c>
      <c r="BO1254">
        <v>0</v>
      </c>
      <c r="BP1254">
        <v>0</v>
      </c>
      <c r="BW1254" t="str">
        <f>"14:49:58.543"</f>
        <v>14:49:58.543</v>
      </c>
      <c r="CJ1254">
        <v>2</v>
      </c>
      <c r="CK1254">
        <v>2</v>
      </c>
      <c r="CL1254">
        <v>0</v>
      </c>
      <c r="CM1254">
        <v>2</v>
      </c>
      <c r="CN1254">
        <v>0</v>
      </c>
      <c r="CO1254">
        <v>2</v>
      </c>
      <c r="CP1254" t="s">
        <v>119</v>
      </c>
      <c r="CQ1254">
        <v>232</v>
      </c>
      <c r="CR1254">
        <v>2</v>
      </c>
      <c r="CW1254">
        <v>6697940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1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>"12/16/2021 14:49:58.750"</f>
        <v>12/16/2021 14:49:58.750</v>
      </c>
      <c r="C1255" t="str">
        <f t="shared" si="60"/>
        <v>FFDFD3C0</v>
      </c>
      <c r="D1255" t="s">
        <v>113</v>
      </c>
      <c r="E1255">
        <v>8</v>
      </c>
      <c r="H1255">
        <v>176</v>
      </c>
      <c r="I1255" t="s">
        <v>114</v>
      </c>
      <c r="J1255" t="s">
        <v>115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"14:49:58.539"</f>
        <v>14:49:58.539</v>
      </c>
      <c r="T1255" t="str">
        <f>"14:49:58.039"</f>
        <v>14:49:58.039</v>
      </c>
      <c r="U1255" t="str">
        <f t="shared" si="57"/>
        <v>A0F928</v>
      </c>
      <c r="V1255">
        <v>0</v>
      </c>
      <c r="W1255">
        <v>0</v>
      </c>
      <c r="X1255">
        <v>2</v>
      </c>
      <c r="Z1255">
        <v>0</v>
      </c>
      <c r="AA1255">
        <v>9</v>
      </c>
      <c r="AB1255">
        <v>3</v>
      </c>
      <c r="AC1255">
        <v>0</v>
      </c>
      <c r="AD1255">
        <v>10</v>
      </c>
      <c r="AE1255">
        <v>0</v>
      </c>
      <c r="AF1255">
        <v>0</v>
      </c>
      <c r="AG1255">
        <v>2</v>
      </c>
      <c r="AH1255">
        <v>1</v>
      </c>
      <c r="AI1255" t="s">
        <v>146</v>
      </c>
      <c r="AJ1255">
        <v>35.793736000000003</v>
      </c>
      <c r="AK1255" t="s">
        <v>711</v>
      </c>
      <c r="AL1255">
        <v>-84.011915000000002</v>
      </c>
      <c r="AM1255">
        <v>25</v>
      </c>
      <c r="AN1255">
        <v>1175</v>
      </c>
      <c r="AO1255" t="s">
        <v>118</v>
      </c>
      <c r="AP1255">
        <v>-95</v>
      </c>
      <c r="AQ1255">
        <v>-94</v>
      </c>
      <c r="AR1255">
        <v>1088</v>
      </c>
      <c r="AZ1255">
        <v>300</v>
      </c>
      <c r="BA1255">
        <v>1</v>
      </c>
      <c r="BB1255" t="str">
        <f t="shared" si="58"/>
        <v xml:space="preserve">N162AM  </v>
      </c>
      <c r="BC1255">
        <v>1</v>
      </c>
      <c r="BE1255">
        <v>0</v>
      </c>
      <c r="BF1255">
        <v>0</v>
      </c>
      <c r="BG1255">
        <v>0</v>
      </c>
      <c r="BH1255">
        <v>1400</v>
      </c>
      <c r="BI1255">
        <v>1</v>
      </c>
      <c r="BJ1255">
        <v>1</v>
      </c>
      <c r="BK1255">
        <v>1</v>
      </c>
      <c r="BL1255">
        <v>0</v>
      </c>
      <c r="BO1255">
        <v>0</v>
      </c>
      <c r="BP1255">
        <v>0</v>
      </c>
      <c r="BW1255" t="str">
        <f>"14:49:58.543"</f>
        <v>14:49:58.543</v>
      </c>
      <c r="CJ1255">
        <v>2</v>
      </c>
      <c r="CK1255">
        <v>2</v>
      </c>
      <c r="CL1255">
        <v>0</v>
      </c>
      <c r="CM1255">
        <v>2</v>
      </c>
      <c r="CN1255">
        <v>0</v>
      </c>
      <c r="CO1255">
        <v>2</v>
      </c>
      <c r="CP1255" t="s">
        <v>119</v>
      </c>
      <c r="CQ1255">
        <v>232</v>
      </c>
      <c r="CR1255">
        <v>2</v>
      </c>
      <c r="CW1255">
        <v>6697940</v>
      </c>
      <c r="CY1255">
        <v>0</v>
      </c>
      <c r="CZ1255">
        <v>0</v>
      </c>
      <c r="DA1255">
        <v>1</v>
      </c>
      <c r="DB1255">
        <v>0</v>
      </c>
      <c r="DC1255">
        <v>0</v>
      </c>
      <c r="DD1255">
        <v>1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>"12/16/2021 14:49:58.750"</f>
        <v>12/16/2021 14:49:58.750</v>
      </c>
      <c r="C1256" t="str">
        <f t="shared" si="60"/>
        <v>FFDFD3C0</v>
      </c>
      <c r="D1256" t="s">
        <v>124</v>
      </c>
      <c r="E1256">
        <v>10</v>
      </c>
      <c r="F1256">
        <v>1010</v>
      </c>
      <c r="G1256" t="s">
        <v>130</v>
      </c>
      <c r="J1256" t="s">
        <v>125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"14:49:58.539"</f>
        <v>14:49:58.539</v>
      </c>
      <c r="T1256" t="str">
        <f>"14:49:58.039"</f>
        <v>14:49:58.039</v>
      </c>
      <c r="U1256" t="str">
        <f t="shared" si="57"/>
        <v>A0F928</v>
      </c>
      <c r="V1256">
        <v>0</v>
      </c>
      <c r="W1256">
        <v>0</v>
      </c>
      <c r="X1256">
        <v>2</v>
      </c>
      <c r="Z1256">
        <v>0</v>
      </c>
      <c r="AA1256">
        <v>9</v>
      </c>
      <c r="AB1256">
        <v>3</v>
      </c>
      <c r="AC1256">
        <v>0</v>
      </c>
      <c r="AD1256">
        <v>10</v>
      </c>
      <c r="AE1256">
        <v>0</v>
      </c>
      <c r="AF1256">
        <v>0</v>
      </c>
      <c r="AG1256">
        <v>2</v>
      </c>
      <c r="AH1256">
        <v>1</v>
      </c>
      <c r="AI1256" t="s">
        <v>146</v>
      </c>
      <c r="AJ1256">
        <v>35.793736000000003</v>
      </c>
      <c r="AK1256" t="s">
        <v>711</v>
      </c>
      <c r="AL1256">
        <v>-84.011915000000002</v>
      </c>
      <c r="AM1256">
        <v>25</v>
      </c>
      <c r="AN1256">
        <v>1175</v>
      </c>
      <c r="AO1256" t="s">
        <v>118</v>
      </c>
      <c r="AP1256">
        <v>-95</v>
      </c>
      <c r="AQ1256">
        <v>-94</v>
      </c>
      <c r="AR1256">
        <v>1088</v>
      </c>
      <c r="AZ1256">
        <v>300</v>
      </c>
      <c r="BA1256">
        <v>1</v>
      </c>
      <c r="BB1256" t="str">
        <f t="shared" si="58"/>
        <v xml:space="preserve">N162AM  </v>
      </c>
      <c r="BC1256">
        <v>1</v>
      </c>
      <c r="BE1256">
        <v>0</v>
      </c>
      <c r="BF1256">
        <v>0</v>
      </c>
      <c r="BG1256">
        <v>0</v>
      </c>
      <c r="BH1256">
        <v>1400</v>
      </c>
      <c r="BI1256">
        <v>1</v>
      </c>
      <c r="BJ1256">
        <v>1</v>
      </c>
      <c r="BK1256">
        <v>1</v>
      </c>
      <c r="BL1256">
        <v>0</v>
      </c>
      <c r="BO1256">
        <v>0</v>
      </c>
      <c r="BP1256">
        <v>0</v>
      </c>
      <c r="BW1256" t="str">
        <f>"14:49:58.543"</f>
        <v>14:49:58.543</v>
      </c>
      <c r="CJ1256">
        <v>2</v>
      </c>
      <c r="CK1256">
        <v>2</v>
      </c>
      <c r="CL1256">
        <v>0</v>
      </c>
      <c r="CM1256">
        <v>2</v>
      </c>
      <c r="CN1256">
        <v>0</v>
      </c>
      <c r="CO1256">
        <v>2</v>
      </c>
      <c r="CP1256" t="s">
        <v>119</v>
      </c>
      <c r="CQ1256">
        <v>232</v>
      </c>
      <c r="CR1256">
        <v>2</v>
      </c>
      <c r="CW1256">
        <v>6697940</v>
      </c>
      <c r="CY1256">
        <v>0</v>
      </c>
      <c r="CZ1256">
        <v>0</v>
      </c>
      <c r="DA1256">
        <v>1</v>
      </c>
      <c r="DB1256">
        <v>0</v>
      </c>
      <c r="DC1256">
        <v>0</v>
      </c>
      <c r="DD1256">
        <v>1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>"12/16/2021 14:49:58.750"</f>
        <v>12/16/2021 14:49:58.750</v>
      </c>
      <c r="C1257" t="str">
        <f t="shared" si="60"/>
        <v>FFDFD3C0</v>
      </c>
      <c r="D1257" t="s">
        <v>124</v>
      </c>
      <c r="E1257">
        <v>5</v>
      </c>
      <c r="F1257">
        <v>1005</v>
      </c>
      <c r="G1257" t="s">
        <v>114</v>
      </c>
      <c r="J1257" t="s">
        <v>125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"14:49:58.539"</f>
        <v>14:49:58.539</v>
      </c>
      <c r="T1257" t="str">
        <f>"14:49:58.039"</f>
        <v>14:49:58.039</v>
      </c>
      <c r="U1257" t="str">
        <f t="shared" si="57"/>
        <v>A0F928</v>
      </c>
      <c r="V1257">
        <v>0</v>
      </c>
      <c r="W1257">
        <v>0</v>
      </c>
      <c r="X1257">
        <v>2</v>
      </c>
      <c r="Z1257">
        <v>0</v>
      </c>
      <c r="AA1257">
        <v>9</v>
      </c>
      <c r="AB1257">
        <v>3</v>
      </c>
      <c r="AC1257">
        <v>0</v>
      </c>
      <c r="AD1257">
        <v>10</v>
      </c>
      <c r="AE1257">
        <v>0</v>
      </c>
      <c r="AF1257">
        <v>0</v>
      </c>
      <c r="AG1257">
        <v>2</v>
      </c>
      <c r="AH1257">
        <v>1</v>
      </c>
      <c r="AI1257" t="s">
        <v>146</v>
      </c>
      <c r="AJ1257">
        <v>35.793736000000003</v>
      </c>
      <c r="AK1257" t="s">
        <v>711</v>
      </c>
      <c r="AL1257">
        <v>-84.011915000000002</v>
      </c>
      <c r="AM1257">
        <v>25</v>
      </c>
      <c r="AN1257">
        <v>1175</v>
      </c>
      <c r="AO1257" t="s">
        <v>118</v>
      </c>
      <c r="AP1257">
        <v>-95</v>
      </c>
      <c r="AQ1257">
        <v>-94</v>
      </c>
      <c r="AR1257">
        <v>1088</v>
      </c>
      <c r="AZ1257">
        <v>300</v>
      </c>
      <c r="BA1257">
        <v>1</v>
      </c>
      <c r="BB1257" t="str">
        <f t="shared" si="58"/>
        <v xml:space="preserve">N162AM  </v>
      </c>
      <c r="BC1257">
        <v>1</v>
      </c>
      <c r="BE1257">
        <v>0</v>
      </c>
      <c r="BF1257">
        <v>0</v>
      </c>
      <c r="BG1257">
        <v>0</v>
      </c>
      <c r="BH1257">
        <v>1400</v>
      </c>
      <c r="BI1257">
        <v>1</v>
      </c>
      <c r="BJ1257">
        <v>1</v>
      </c>
      <c r="BK1257">
        <v>1</v>
      </c>
      <c r="BL1257">
        <v>0</v>
      </c>
      <c r="BO1257">
        <v>0</v>
      </c>
      <c r="BP1257">
        <v>0</v>
      </c>
      <c r="BW1257" t="str">
        <f>"14:49:58.543"</f>
        <v>14:49:58.543</v>
      </c>
      <c r="CJ1257">
        <v>2</v>
      </c>
      <c r="CK1257">
        <v>2</v>
      </c>
      <c r="CL1257">
        <v>0</v>
      </c>
      <c r="CM1257">
        <v>2</v>
      </c>
      <c r="CN1257">
        <v>0</v>
      </c>
      <c r="CO1257">
        <v>2</v>
      </c>
      <c r="CP1257" t="s">
        <v>119</v>
      </c>
      <c r="CQ1257">
        <v>232</v>
      </c>
      <c r="CR1257">
        <v>2</v>
      </c>
      <c r="CW1257">
        <v>6697940</v>
      </c>
      <c r="CY1257">
        <v>0</v>
      </c>
      <c r="CZ1257">
        <v>0</v>
      </c>
      <c r="DA1257">
        <v>1</v>
      </c>
      <c r="DB1257">
        <v>0</v>
      </c>
      <c r="DC1257">
        <v>0</v>
      </c>
      <c r="DD1257">
        <v>1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>"12/16/2021 14:49:59.835"</f>
        <v>12/16/2021 14:49:59.835</v>
      </c>
      <c r="C1258" t="str">
        <f t="shared" si="60"/>
        <v>FFDFD3C0</v>
      </c>
      <c r="D1258" t="s">
        <v>124</v>
      </c>
      <c r="E1258">
        <v>5</v>
      </c>
      <c r="F1258">
        <v>1005</v>
      </c>
      <c r="G1258" t="s">
        <v>114</v>
      </c>
      <c r="J1258" t="s">
        <v>125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"14:49:59.578"</f>
        <v>14:49:59.578</v>
      </c>
      <c r="T1258" t="str">
        <f>"14:49:59.078"</f>
        <v>14:49:59.078</v>
      </c>
      <c r="U1258" t="str">
        <f t="shared" si="57"/>
        <v>A0F928</v>
      </c>
      <c r="V1258">
        <v>0</v>
      </c>
      <c r="W1258">
        <v>0</v>
      </c>
      <c r="X1258">
        <v>2</v>
      </c>
      <c r="Z1258">
        <v>0</v>
      </c>
      <c r="AA1258">
        <v>9</v>
      </c>
      <c r="AB1258">
        <v>3</v>
      </c>
      <c r="AC1258">
        <v>0</v>
      </c>
      <c r="AD1258">
        <v>10</v>
      </c>
      <c r="AE1258">
        <v>0</v>
      </c>
      <c r="AF1258">
        <v>0</v>
      </c>
      <c r="AG1258">
        <v>2</v>
      </c>
      <c r="AH1258">
        <v>1</v>
      </c>
      <c r="AI1258" t="s">
        <v>712</v>
      </c>
      <c r="AJ1258">
        <v>35.793221000000003</v>
      </c>
      <c r="AK1258" t="s">
        <v>713</v>
      </c>
      <c r="AL1258">
        <v>-84.012516000000005</v>
      </c>
      <c r="AM1258">
        <v>25</v>
      </c>
      <c r="AN1258">
        <v>1175</v>
      </c>
      <c r="AO1258" t="s">
        <v>118</v>
      </c>
      <c r="AP1258">
        <v>-95</v>
      </c>
      <c r="AQ1258">
        <v>-94</v>
      </c>
      <c r="AR1258">
        <v>1088</v>
      </c>
      <c r="AZ1258">
        <v>300</v>
      </c>
      <c r="BA1258">
        <v>1</v>
      </c>
      <c r="BB1258" t="str">
        <f t="shared" si="58"/>
        <v xml:space="preserve">N162AM  </v>
      </c>
      <c r="BC1258">
        <v>1</v>
      </c>
      <c r="BE1258">
        <v>0</v>
      </c>
      <c r="BF1258">
        <v>0</v>
      </c>
      <c r="BG1258">
        <v>0</v>
      </c>
      <c r="BH1258">
        <v>1425</v>
      </c>
      <c r="BI1258">
        <v>1</v>
      </c>
      <c r="BJ1258">
        <v>1</v>
      </c>
      <c r="BK1258">
        <v>1</v>
      </c>
      <c r="BL1258">
        <v>0</v>
      </c>
      <c r="BO1258">
        <v>0</v>
      </c>
      <c r="BP1258">
        <v>0</v>
      </c>
      <c r="BW1258" t="str">
        <f>"14:49:59.580"</f>
        <v>14:49:59.580</v>
      </c>
      <c r="CJ1258">
        <v>2</v>
      </c>
      <c r="CK1258">
        <v>2</v>
      </c>
      <c r="CL1258">
        <v>0</v>
      </c>
      <c r="CM1258">
        <v>2</v>
      </c>
      <c r="CN1258">
        <v>0</v>
      </c>
      <c r="CO1258">
        <v>3</v>
      </c>
      <c r="CP1258" t="s">
        <v>119</v>
      </c>
      <c r="CQ1258">
        <v>232</v>
      </c>
      <c r="CR1258">
        <v>1</v>
      </c>
      <c r="CW1258">
        <v>15500968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1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"12/16/2021 14:49:59.835"</f>
        <v>12/16/2021 14:49:59.835</v>
      </c>
      <c r="C1259" t="str">
        <f t="shared" si="60"/>
        <v>FFDFD3C0</v>
      </c>
      <c r="D1259" t="s">
        <v>124</v>
      </c>
      <c r="E1259">
        <v>10</v>
      </c>
      <c r="F1259">
        <v>1010</v>
      </c>
      <c r="G1259" t="s">
        <v>130</v>
      </c>
      <c r="J1259" t="s">
        <v>125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"14:49:59.578"</f>
        <v>14:49:59.578</v>
      </c>
      <c r="T1259" t="str">
        <f>"14:49:59.078"</f>
        <v>14:49:59.078</v>
      </c>
      <c r="U1259" t="str">
        <f t="shared" si="57"/>
        <v>A0F928</v>
      </c>
      <c r="V1259">
        <v>0</v>
      </c>
      <c r="W1259">
        <v>0</v>
      </c>
      <c r="X1259">
        <v>2</v>
      </c>
      <c r="Z1259">
        <v>0</v>
      </c>
      <c r="AA1259">
        <v>9</v>
      </c>
      <c r="AB1259">
        <v>3</v>
      </c>
      <c r="AC1259">
        <v>0</v>
      </c>
      <c r="AD1259">
        <v>10</v>
      </c>
      <c r="AE1259">
        <v>0</v>
      </c>
      <c r="AF1259">
        <v>0</v>
      </c>
      <c r="AG1259">
        <v>2</v>
      </c>
      <c r="AH1259">
        <v>1</v>
      </c>
      <c r="AI1259" t="s">
        <v>712</v>
      </c>
      <c r="AJ1259">
        <v>35.793221000000003</v>
      </c>
      <c r="AK1259" t="s">
        <v>713</v>
      </c>
      <c r="AL1259">
        <v>-84.012516000000005</v>
      </c>
      <c r="AM1259">
        <v>25</v>
      </c>
      <c r="AN1259">
        <v>1175</v>
      </c>
      <c r="AO1259" t="s">
        <v>118</v>
      </c>
      <c r="AP1259">
        <v>-95</v>
      </c>
      <c r="AQ1259">
        <v>-94</v>
      </c>
      <c r="AR1259">
        <v>1088</v>
      </c>
      <c r="AZ1259">
        <v>300</v>
      </c>
      <c r="BA1259">
        <v>1</v>
      </c>
      <c r="BB1259" t="str">
        <f t="shared" si="58"/>
        <v xml:space="preserve">N162AM  </v>
      </c>
      <c r="BC1259">
        <v>1</v>
      </c>
      <c r="BE1259">
        <v>0</v>
      </c>
      <c r="BF1259">
        <v>0</v>
      </c>
      <c r="BG1259">
        <v>0</v>
      </c>
      <c r="BH1259">
        <v>1425</v>
      </c>
      <c r="BI1259">
        <v>1</v>
      </c>
      <c r="BJ1259">
        <v>1</v>
      </c>
      <c r="BK1259">
        <v>1</v>
      </c>
      <c r="BL1259">
        <v>0</v>
      </c>
      <c r="BO1259">
        <v>0</v>
      </c>
      <c r="BP1259">
        <v>0</v>
      </c>
      <c r="BW1259" t="str">
        <f>"14:49:59.580"</f>
        <v>14:49:59.580</v>
      </c>
      <c r="CJ1259">
        <v>2</v>
      </c>
      <c r="CK1259">
        <v>2</v>
      </c>
      <c r="CL1259">
        <v>0</v>
      </c>
      <c r="CM1259">
        <v>2</v>
      </c>
      <c r="CN1259">
        <v>0</v>
      </c>
      <c r="CO1259">
        <v>3</v>
      </c>
      <c r="CP1259" t="s">
        <v>119</v>
      </c>
      <c r="CQ1259">
        <v>232</v>
      </c>
      <c r="CR1259">
        <v>1</v>
      </c>
      <c r="CW1259">
        <v>15500968</v>
      </c>
      <c r="CY1259">
        <v>0</v>
      </c>
      <c r="CZ1259">
        <v>0</v>
      </c>
      <c r="DA1259">
        <v>1</v>
      </c>
      <c r="DB1259">
        <v>0</v>
      </c>
      <c r="DC1259">
        <v>0</v>
      </c>
      <c r="DD1259">
        <v>1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"12/16/2021 14:49:59.835"</f>
        <v>12/16/2021 14:49:59.835</v>
      </c>
      <c r="C1260" t="str">
        <f t="shared" si="60"/>
        <v>FFDFD3C0</v>
      </c>
      <c r="D1260" t="s">
        <v>113</v>
      </c>
      <c r="E1260">
        <v>8</v>
      </c>
      <c r="H1260">
        <v>176</v>
      </c>
      <c r="I1260" t="s">
        <v>114</v>
      </c>
      <c r="J1260" t="s">
        <v>115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"14:49:59.578"</f>
        <v>14:49:59.578</v>
      </c>
      <c r="T1260" t="str">
        <f>"14:49:59.078"</f>
        <v>14:49:59.078</v>
      </c>
      <c r="U1260" t="str">
        <f t="shared" si="57"/>
        <v>A0F928</v>
      </c>
      <c r="V1260">
        <v>0</v>
      </c>
      <c r="W1260">
        <v>0</v>
      </c>
      <c r="X1260">
        <v>2</v>
      </c>
      <c r="Z1260">
        <v>0</v>
      </c>
      <c r="AA1260">
        <v>9</v>
      </c>
      <c r="AB1260">
        <v>3</v>
      </c>
      <c r="AC1260">
        <v>0</v>
      </c>
      <c r="AD1260">
        <v>10</v>
      </c>
      <c r="AE1260">
        <v>0</v>
      </c>
      <c r="AF1260">
        <v>0</v>
      </c>
      <c r="AG1260">
        <v>2</v>
      </c>
      <c r="AH1260">
        <v>1</v>
      </c>
      <c r="AI1260" t="s">
        <v>712</v>
      </c>
      <c r="AJ1260">
        <v>35.793221000000003</v>
      </c>
      <c r="AK1260" t="s">
        <v>713</v>
      </c>
      <c r="AL1260">
        <v>-84.012516000000005</v>
      </c>
      <c r="AM1260">
        <v>25</v>
      </c>
      <c r="AN1260">
        <v>1175</v>
      </c>
      <c r="AO1260" t="s">
        <v>118</v>
      </c>
      <c r="AP1260">
        <v>-95</v>
      </c>
      <c r="AQ1260">
        <v>-94</v>
      </c>
      <c r="AR1260">
        <v>1088</v>
      </c>
      <c r="AZ1260">
        <v>300</v>
      </c>
      <c r="BA1260">
        <v>1</v>
      </c>
      <c r="BB1260" t="str">
        <f t="shared" si="58"/>
        <v xml:space="preserve">N162AM  </v>
      </c>
      <c r="BC1260">
        <v>1</v>
      </c>
      <c r="BE1260">
        <v>0</v>
      </c>
      <c r="BF1260">
        <v>0</v>
      </c>
      <c r="BG1260">
        <v>0</v>
      </c>
      <c r="BH1260">
        <v>1425</v>
      </c>
      <c r="BI1260">
        <v>1</v>
      </c>
      <c r="BJ1260">
        <v>1</v>
      </c>
      <c r="BK1260">
        <v>1</v>
      </c>
      <c r="BL1260">
        <v>0</v>
      </c>
      <c r="BO1260">
        <v>0</v>
      </c>
      <c r="BP1260">
        <v>0</v>
      </c>
      <c r="BW1260" t="str">
        <f>"14:49:59.580"</f>
        <v>14:49:59.580</v>
      </c>
      <c r="CJ1260">
        <v>2</v>
      </c>
      <c r="CK1260">
        <v>2</v>
      </c>
      <c r="CL1260">
        <v>0</v>
      </c>
      <c r="CM1260">
        <v>2</v>
      </c>
      <c r="CN1260">
        <v>0</v>
      </c>
      <c r="CO1260">
        <v>3</v>
      </c>
      <c r="CP1260" t="s">
        <v>119</v>
      </c>
      <c r="CQ1260">
        <v>232</v>
      </c>
      <c r="CR1260">
        <v>1</v>
      </c>
      <c r="CW1260">
        <v>15500968</v>
      </c>
      <c r="CY1260">
        <v>0</v>
      </c>
      <c r="CZ1260">
        <v>0</v>
      </c>
      <c r="DA1260">
        <v>1</v>
      </c>
      <c r="DB1260">
        <v>0</v>
      </c>
      <c r="DC1260">
        <v>0</v>
      </c>
      <c r="DD1260">
        <v>1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"12/16/2021 14:49:59.835"</f>
        <v>12/16/2021 14:49:59.835</v>
      </c>
      <c r="C1261" t="str">
        <f t="shared" si="60"/>
        <v>FFDFD3C0</v>
      </c>
      <c r="D1261" t="s">
        <v>133</v>
      </c>
      <c r="E1261">
        <v>44</v>
      </c>
      <c r="H1261">
        <v>131</v>
      </c>
      <c r="I1261" t="s">
        <v>134</v>
      </c>
      <c r="J1261" t="s">
        <v>135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"14:49:59.578"</f>
        <v>14:49:59.578</v>
      </c>
      <c r="T1261" t="str">
        <f>"14:49:59.078"</f>
        <v>14:49:59.078</v>
      </c>
      <c r="U1261" t="str">
        <f t="shared" si="57"/>
        <v>A0F928</v>
      </c>
      <c r="V1261">
        <v>0</v>
      </c>
      <c r="W1261">
        <v>0</v>
      </c>
      <c r="X1261">
        <v>2</v>
      </c>
      <c r="Z1261">
        <v>0</v>
      </c>
      <c r="AA1261">
        <v>9</v>
      </c>
      <c r="AB1261">
        <v>3</v>
      </c>
      <c r="AC1261">
        <v>0</v>
      </c>
      <c r="AD1261">
        <v>10</v>
      </c>
      <c r="AE1261">
        <v>0</v>
      </c>
      <c r="AF1261">
        <v>0</v>
      </c>
      <c r="AG1261">
        <v>2</v>
      </c>
      <c r="AH1261">
        <v>1</v>
      </c>
      <c r="AI1261" t="s">
        <v>712</v>
      </c>
      <c r="AJ1261">
        <v>35.793221000000003</v>
      </c>
      <c r="AK1261" t="s">
        <v>713</v>
      </c>
      <c r="AL1261">
        <v>-84.012516000000005</v>
      </c>
      <c r="AM1261">
        <v>25</v>
      </c>
      <c r="AN1261">
        <v>1175</v>
      </c>
      <c r="AO1261" t="s">
        <v>118</v>
      </c>
      <c r="AP1261">
        <v>-95</v>
      </c>
      <c r="AQ1261">
        <v>-94</v>
      </c>
      <c r="AR1261">
        <v>1088</v>
      </c>
      <c r="AZ1261">
        <v>300</v>
      </c>
      <c r="BA1261">
        <v>1</v>
      </c>
      <c r="BB1261" t="str">
        <f t="shared" si="58"/>
        <v xml:space="preserve">N162AM  </v>
      </c>
      <c r="BC1261">
        <v>1</v>
      </c>
      <c r="BE1261">
        <v>0</v>
      </c>
      <c r="BF1261">
        <v>0</v>
      </c>
      <c r="BG1261">
        <v>0</v>
      </c>
      <c r="BH1261">
        <v>1425</v>
      </c>
      <c r="BI1261">
        <v>1</v>
      </c>
      <c r="BJ1261">
        <v>1</v>
      </c>
      <c r="BK1261">
        <v>1</v>
      </c>
      <c r="BL1261">
        <v>0</v>
      </c>
      <c r="BO1261">
        <v>0</v>
      </c>
      <c r="BP1261">
        <v>0</v>
      </c>
      <c r="BW1261" t="str">
        <f>"14:49:59.580"</f>
        <v>14:49:59.580</v>
      </c>
      <c r="CJ1261">
        <v>2</v>
      </c>
      <c r="CK1261">
        <v>2</v>
      </c>
      <c r="CL1261">
        <v>0</v>
      </c>
      <c r="CM1261">
        <v>2</v>
      </c>
      <c r="CN1261">
        <v>0</v>
      </c>
      <c r="CO1261">
        <v>3</v>
      </c>
      <c r="CP1261" t="s">
        <v>119</v>
      </c>
      <c r="CQ1261">
        <v>232</v>
      </c>
      <c r="CR1261">
        <v>1</v>
      </c>
      <c r="CW1261">
        <v>15500968</v>
      </c>
      <c r="CY1261">
        <v>0</v>
      </c>
      <c r="CZ1261">
        <v>0</v>
      </c>
      <c r="DA1261">
        <v>1</v>
      </c>
      <c r="DB1261">
        <v>0</v>
      </c>
      <c r="DC1261">
        <v>0</v>
      </c>
      <c r="DD1261">
        <v>1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"12/16/2021 14:50:00.757"</f>
        <v>12/16/2021 14:50:00.757</v>
      </c>
      <c r="C1262" t="str">
        <f t="shared" si="60"/>
        <v>FFDFD3C0</v>
      </c>
      <c r="D1262" t="s">
        <v>124</v>
      </c>
      <c r="E1262">
        <v>10</v>
      </c>
      <c r="F1262">
        <v>1010</v>
      </c>
      <c r="G1262" t="s">
        <v>130</v>
      </c>
      <c r="J1262" t="s">
        <v>125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"14:50:00.570"</f>
        <v>14:50:00.570</v>
      </c>
      <c r="T1262" t="str">
        <f>"14:50:00.070"</f>
        <v>14:50:00.070</v>
      </c>
      <c r="U1262" t="str">
        <f t="shared" si="57"/>
        <v>A0F928</v>
      </c>
      <c r="V1262">
        <v>0</v>
      </c>
      <c r="W1262">
        <v>0</v>
      </c>
      <c r="X1262">
        <v>2</v>
      </c>
      <c r="Z1262">
        <v>0</v>
      </c>
      <c r="AA1262">
        <v>9</v>
      </c>
      <c r="AB1262">
        <v>3</v>
      </c>
      <c r="AC1262">
        <v>0</v>
      </c>
      <c r="AD1262">
        <v>10</v>
      </c>
      <c r="AE1262">
        <v>0</v>
      </c>
      <c r="AF1262">
        <v>0</v>
      </c>
      <c r="AG1262">
        <v>2</v>
      </c>
      <c r="AH1262">
        <v>1</v>
      </c>
      <c r="AI1262" t="s">
        <v>714</v>
      </c>
      <c r="AJ1262">
        <v>35.792769999999997</v>
      </c>
      <c r="AK1262" t="s">
        <v>715</v>
      </c>
      <c r="AL1262">
        <v>-84.013030999999998</v>
      </c>
      <c r="AM1262">
        <v>25</v>
      </c>
      <c r="AN1262">
        <v>1200</v>
      </c>
      <c r="AO1262" t="s">
        <v>118</v>
      </c>
      <c r="AP1262">
        <v>-95</v>
      </c>
      <c r="AQ1262">
        <v>-94</v>
      </c>
      <c r="AR1262">
        <v>1024</v>
      </c>
      <c r="AZ1262">
        <v>300</v>
      </c>
      <c r="BA1262">
        <v>1</v>
      </c>
      <c r="BB1262" t="str">
        <f t="shared" si="58"/>
        <v xml:space="preserve">N162AM  </v>
      </c>
      <c r="BC1262">
        <v>1</v>
      </c>
      <c r="BE1262">
        <v>0</v>
      </c>
      <c r="BF1262">
        <v>0</v>
      </c>
      <c r="BG1262">
        <v>0</v>
      </c>
      <c r="BH1262">
        <v>1425</v>
      </c>
      <c r="BI1262">
        <v>1</v>
      </c>
      <c r="BJ1262">
        <v>1</v>
      </c>
      <c r="BK1262">
        <v>1</v>
      </c>
      <c r="BL1262">
        <v>0</v>
      </c>
      <c r="BO1262">
        <v>0</v>
      </c>
      <c r="BP1262">
        <v>0</v>
      </c>
      <c r="BW1262" t="str">
        <f>"14:50:00.573"</f>
        <v>14:50:00.573</v>
      </c>
      <c r="CJ1262">
        <v>2</v>
      </c>
      <c r="CK1262">
        <v>2</v>
      </c>
      <c r="CL1262">
        <v>0</v>
      </c>
      <c r="CM1262">
        <v>2</v>
      </c>
      <c r="CN1262">
        <v>0</v>
      </c>
      <c r="CO1262">
        <v>3</v>
      </c>
      <c r="CP1262" t="s">
        <v>119</v>
      </c>
      <c r="CQ1262">
        <v>232</v>
      </c>
      <c r="CR1262">
        <v>2</v>
      </c>
      <c r="CW1262">
        <v>6701125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1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"12/16/2021 14:50:00.772"</f>
        <v>12/16/2021 14:50:00.772</v>
      </c>
      <c r="C1263" t="str">
        <f t="shared" si="60"/>
        <v>FFDFD3C0</v>
      </c>
      <c r="D1263" t="s">
        <v>113</v>
      </c>
      <c r="E1263">
        <v>8</v>
      </c>
      <c r="H1263">
        <v>176</v>
      </c>
      <c r="I1263" t="s">
        <v>114</v>
      </c>
      <c r="J1263" t="s">
        <v>115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"14:50:00.570"</f>
        <v>14:50:00.570</v>
      </c>
      <c r="T1263" t="str">
        <f>"14:50:00.070"</f>
        <v>14:50:00.070</v>
      </c>
      <c r="U1263" t="str">
        <f t="shared" si="57"/>
        <v>A0F928</v>
      </c>
      <c r="V1263">
        <v>0</v>
      </c>
      <c r="W1263">
        <v>0</v>
      </c>
      <c r="X1263">
        <v>2</v>
      </c>
      <c r="Z1263">
        <v>0</v>
      </c>
      <c r="AA1263">
        <v>9</v>
      </c>
      <c r="AB1263">
        <v>3</v>
      </c>
      <c r="AC1263">
        <v>0</v>
      </c>
      <c r="AD1263">
        <v>10</v>
      </c>
      <c r="AE1263">
        <v>0</v>
      </c>
      <c r="AF1263">
        <v>0</v>
      </c>
      <c r="AG1263">
        <v>2</v>
      </c>
      <c r="AH1263">
        <v>1</v>
      </c>
      <c r="AI1263" t="s">
        <v>714</v>
      </c>
      <c r="AJ1263">
        <v>35.792769999999997</v>
      </c>
      <c r="AK1263" t="s">
        <v>715</v>
      </c>
      <c r="AL1263">
        <v>-84.013030999999998</v>
      </c>
      <c r="AM1263">
        <v>25</v>
      </c>
      <c r="AN1263">
        <v>1200</v>
      </c>
      <c r="AO1263" t="s">
        <v>118</v>
      </c>
      <c r="AP1263">
        <v>-95</v>
      </c>
      <c r="AQ1263">
        <v>-94</v>
      </c>
      <c r="AR1263">
        <v>1024</v>
      </c>
      <c r="AZ1263">
        <v>300</v>
      </c>
      <c r="BA1263">
        <v>1</v>
      </c>
      <c r="BB1263" t="str">
        <f t="shared" si="58"/>
        <v xml:space="preserve">N162AM  </v>
      </c>
      <c r="BC1263">
        <v>1</v>
      </c>
      <c r="BE1263">
        <v>0</v>
      </c>
      <c r="BF1263">
        <v>0</v>
      </c>
      <c r="BG1263">
        <v>0</v>
      </c>
      <c r="BH1263">
        <v>1425</v>
      </c>
      <c r="BI1263">
        <v>1</v>
      </c>
      <c r="BJ1263">
        <v>1</v>
      </c>
      <c r="BK1263">
        <v>1</v>
      </c>
      <c r="BL1263">
        <v>0</v>
      </c>
      <c r="BO1263">
        <v>0</v>
      </c>
      <c r="BP1263">
        <v>0</v>
      </c>
      <c r="BW1263" t="str">
        <f>"14:50:00.573"</f>
        <v>14:50:00.573</v>
      </c>
      <c r="CJ1263">
        <v>2</v>
      </c>
      <c r="CK1263">
        <v>2</v>
      </c>
      <c r="CL1263">
        <v>0</v>
      </c>
      <c r="CM1263">
        <v>2</v>
      </c>
      <c r="CN1263">
        <v>0</v>
      </c>
      <c r="CO1263">
        <v>3</v>
      </c>
      <c r="CP1263" t="s">
        <v>119</v>
      </c>
      <c r="CQ1263">
        <v>232</v>
      </c>
      <c r="CR1263">
        <v>2</v>
      </c>
      <c r="CW1263">
        <v>6701125</v>
      </c>
      <c r="CY1263">
        <v>0</v>
      </c>
      <c r="CZ1263">
        <v>0</v>
      </c>
      <c r="DA1263">
        <v>1</v>
      </c>
      <c r="DB1263">
        <v>0</v>
      </c>
      <c r="DC1263">
        <v>0</v>
      </c>
      <c r="DD1263">
        <v>1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"12/16/2021 14:50:00.772"</f>
        <v>12/16/2021 14:50:00.772</v>
      </c>
      <c r="C1264" t="str">
        <f t="shared" si="60"/>
        <v>FFDFD3C0</v>
      </c>
      <c r="D1264" t="s">
        <v>124</v>
      </c>
      <c r="E1264">
        <v>5</v>
      </c>
      <c r="F1264">
        <v>1005</v>
      </c>
      <c r="G1264" t="s">
        <v>114</v>
      </c>
      <c r="J1264" t="s">
        <v>125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"14:50:00.570"</f>
        <v>14:50:00.570</v>
      </c>
      <c r="T1264" t="str">
        <f>"14:50:00.070"</f>
        <v>14:50:00.070</v>
      </c>
      <c r="U1264" t="str">
        <f t="shared" si="57"/>
        <v>A0F928</v>
      </c>
      <c r="V1264">
        <v>0</v>
      </c>
      <c r="W1264">
        <v>0</v>
      </c>
      <c r="X1264">
        <v>2</v>
      </c>
      <c r="Z1264">
        <v>0</v>
      </c>
      <c r="AA1264">
        <v>9</v>
      </c>
      <c r="AB1264">
        <v>3</v>
      </c>
      <c r="AC1264">
        <v>0</v>
      </c>
      <c r="AD1264">
        <v>10</v>
      </c>
      <c r="AE1264">
        <v>0</v>
      </c>
      <c r="AF1264">
        <v>0</v>
      </c>
      <c r="AG1264">
        <v>2</v>
      </c>
      <c r="AH1264">
        <v>1</v>
      </c>
      <c r="AI1264" t="s">
        <v>714</v>
      </c>
      <c r="AJ1264">
        <v>35.792769999999997</v>
      </c>
      <c r="AK1264" t="s">
        <v>715</v>
      </c>
      <c r="AL1264">
        <v>-84.013030999999998</v>
      </c>
      <c r="AM1264">
        <v>25</v>
      </c>
      <c r="AN1264">
        <v>1200</v>
      </c>
      <c r="AO1264" t="s">
        <v>118</v>
      </c>
      <c r="AP1264">
        <v>-95</v>
      </c>
      <c r="AQ1264">
        <v>-94</v>
      </c>
      <c r="AR1264">
        <v>1024</v>
      </c>
      <c r="AZ1264">
        <v>300</v>
      </c>
      <c r="BA1264">
        <v>1</v>
      </c>
      <c r="BB1264" t="str">
        <f t="shared" si="58"/>
        <v xml:space="preserve">N162AM  </v>
      </c>
      <c r="BC1264">
        <v>1</v>
      </c>
      <c r="BE1264">
        <v>0</v>
      </c>
      <c r="BF1264">
        <v>0</v>
      </c>
      <c r="BG1264">
        <v>0</v>
      </c>
      <c r="BH1264">
        <v>1425</v>
      </c>
      <c r="BI1264">
        <v>1</v>
      </c>
      <c r="BJ1264">
        <v>1</v>
      </c>
      <c r="BK1264">
        <v>1</v>
      </c>
      <c r="BL1264">
        <v>0</v>
      </c>
      <c r="BO1264">
        <v>0</v>
      </c>
      <c r="BP1264">
        <v>0</v>
      </c>
      <c r="BW1264" t="str">
        <f>"14:50:00.573"</f>
        <v>14:50:00.573</v>
      </c>
      <c r="CJ1264">
        <v>2</v>
      </c>
      <c r="CK1264">
        <v>2</v>
      </c>
      <c r="CL1264">
        <v>0</v>
      </c>
      <c r="CM1264">
        <v>2</v>
      </c>
      <c r="CN1264">
        <v>0</v>
      </c>
      <c r="CO1264">
        <v>3</v>
      </c>
      <c r="CP1264" t="s">
        <v>119</v>
      </c>
      <c r="CQ1264">
        <v>232</v>
      </c>
      <c r="CR1264">
        <v>2</v>
      </c>
      <c r="CW1264">
        <v>6701125</v>
      </c>
      <c r="CY1264">
        <v>0</v>
      </c>
      <c r="CZ1264">
        <v>0</v>
      </c>
      <c r="DA1264">
        <v>1</v>
      </c>
      <c r="DB1264">
        <v>0</v>
      </c>
      <c r="DC1264">
        <v>0</v>
      </c>
      <c r="DD1264">
        <v>1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"12/16/2021 14:50:00.819"</f>
        <v>12/16/2021 14:50:00.819</v>
      </c>
      <c r="C1265" t="str">
        <f t="shared" si="60"/>
        <v>FFDFD3C0</v>
      </c>
      <c r="D1265" t="s">
        <v>133</v>
      </c>
      <c r="E1265">
        <v>44</v>
      </c>
      <c r="H1265">
        <v>131</v>
      </c>
      <c r="I1265" t="s">
        <v>134</v>
      </c>
      <c r="J1265" t="s">
        <v>135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"14:50:00.570"</f>
        <v>14:50:00.570</v>
      </c>
      <c r="T1265" t="str">
        <f>"14:50:00.070"</f>
        <v>14:50:00.070</v>
      </c>
      <c r="U1265" t="str">
        <f t="shared" si="57"/>
        <v>A0F928</v>
      </c>
      <c r="V1265">
        <v>0</v>
      </c>
      <c r="W1265">
        <v>0</v>
      </c>
      <c r="X1265">
        <v>2</v>
      </c>
      <c r="Z1265">
        <v>0</v>
      </c>
      <c r="AA1265">
        <v>9</v>
      </c>
      <c r="AB1265">
        <v>3</v>
      </c>
      <c r="AC1265">
        <v>0</v>
      </c>
      <c r="AD1265">
        <v>10</v>
      </c>
      <c r="AE1265">
        <v>0</v>
      </c>
      <c r="AF1265">
        <v>0</v>
      </c>
      <c r="AG1265">
        <v>2</v>
      </c>
      <c r="AH1265">
        <v>1</v>
      </c>
      <c r="AI1265" t="s">
        <v>714</v>
      </c>
      <c r="AJ1265">
        <v>35.792769999999997</v>
      </c>
      <c r="AK1265" t="s">
        <v>715</v>
      </c>
      <c r="AL1265">
        <v>-84.013030999999998</v>
      </c>
      <c r="AM1265">
        <v>25</v>
      </c>
      <c r="AN1265">
        <v>1200</v>
      </c>
      <c r="AO1265" t="s">
        <v>118</v>
      </c>
      <c r="AP1265">
        <v>-95</v>
      </c>
      <c r="AQ1265">
        <v>-94</v>
      </c>
      <c r="AR1265">
        <v>1024</v>
      </c>
      <c r="AZ1265">
        <v>300</v>
      </c>
      <c r="BA1265">
        <v>1</v>
      </c>
      <c r="BB1265" t="str">
        <f t="shared" si="58"/>
        <v xml:space="preserve">N162AM  </v>
      </c>
      <c r="BC1265">
        <v>1</v>
      </c>
      <c r="BE1265">
        <v>0</v>
      </c>
      <c r="BF1265">
        <v>0</v>
      </c>
      <c r="BG1265">
        <v>0</v>
      </c>
      <c r="BH1265">
        <v>1425</v>
      </c>
      <c r="BI1265">
        <v>1</v>
      </c>
      <c r="BJ1265">
        <v>1</v>
      </c>
      <c r="BK1265">
        <v>1</v>
      </c>
      <c r="BL1265">
        <v>0</v>
      </c>
      <c r="BO1265">
        <v>0</v>
      </c>
      <c r="BP1265">
        <v>0</v>
      </c>
      <c r="BW1265" t="str">
        <f>"14:50:00.573"</f>
        <v>14:50:00.573</v>
      </c>
      <c r="CJ1265">
        <v>2</v>
      </c>
      <c r="CK1265">
        <v>2</v>
      </c>
      <c r="CL1265">
        <v>0</v>
      </c>
      <c r="CM1265">
        <v>2</v>
      </c>
      <c r="CN1265">
        <v>0</v>
      </c>
      <c r="CO1265">
        <v>3</v>
      </c>
      <c r="CP1265" t="s">
        <v>119</v>
      </c>
      <c r="CQ1265">
        <v>232</v>
      </c>
      <c r="CR1265">
        <v>2</v>
      </c>
      <c r="CW1265">
        <v>6701125</v>
      </c>
      <c r="CY1265">
        <v>0</v>
      </c>
      <c r="CZ1265">
        <v>0</v>
      </c>
      <c r="DA1265">
        <v>1</v>
      </c>
      <c r="DB1265">
        <v>0</v>
      </c>
      <c r="DC1265">
        <v>0</v>
      </c>
      <c r="DD1265">
        <v>1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>"12/16/2021 14:50:01.772"</f>
        <v>12/16/2021 14:50:01.772</v>
      </c>
      <c r="C1266" t="str">
        <f t="shared" si="60"/>
        <v>FFDFD3C0</v>
      </c>
      <c r="D1266" t="s">
        <v>133</v>
      </c>
      <c r="E1266">
        <v>44</v>
      </c>
      <c r="H1266">
        <v>131</v>
      </c>
      <c r="I1266" t="s">
        <v>134</v>
      </c>
      <c r="J1266" t="s">
        <v>135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"14:50:01.523"</f>
        <v>14:50:01.523</v>
      </c>
      <c r="T1266" t="str">
        <f>"14:49:59.123"</f>
        <v>14:49:59.123</v>
      </c>
      <c r="U1266" t="str">
        <f t="shared" si="57"/>
        <v>A0F928</v>
      </c>
      <c r="V1266">
        <v>0</v>
      </c>
      <c r="W1266">
        <v>0</v>
      </c>
      <c r="X1266">
        <v>2</v>
      </c>
      <c r="Z1266">
        <v>0</v>
      </c>
      <c r="AA1266">
        <v>9</v>
      </c>
      <c r="AB1266">
        <v>3</v>
      </c>
      <c r="AC1266">
        <v>0</v>
      </c>
      <c r="AD1266">
        <v>10</v>
      </c>
      <c r="AE1266">
        <v>0</v>
      </c>
      <c r="AF1266">
        <v>0</v>
      </c>
      <c r="AG1266">
        <v>2</v>
      </c>
      <c r="AH1266">
        <v>1</v>
      </c>
      <c r="AI1266" t="s">
        <v>716</v>
      </c>
      <c r="AJ1266">
        <v>35.792383999999998</v>
      </c>
      <c r="AK1266" t="s">
        <v>165</v>
      </c>
      <c r="AL1266">
        <v>-84.013503</v>
      </c>
      <c r="AM1266">
        <v>25</v>
      </c>
      <c r="AN1266">
        <v>1200</v>
      </c>
      <c r="AO1266" t="s">
        <v>118</v>
      </c>
      <c r="AP1266">
        <v>-95</v>
      </c>
      <c r="AQ1266">
        <v>-94</v>
      </c>
      <c r="AR1266">
        <v>1088</v>
      </c>
      <c r="AZ1266">
        <v>300</v>
      </c>
      <c r="BA1266">
        <v>1</v>
      </c>
      <c r="BB1266" t="str">
        <f t="shared" si="58"/>
        <v xml:space="preserve">N162AM  </v>
      </c>
      <c r="BC1266">
        <v>1</v>
      </c>
      <c r="BE1266">
        <v>0</v>
      </c>
      <c r="BF1266">
        <v>0</v>
      </c>
      <c r="BG1266">
        <v>0</v>
      </c>
      <c r="BH1266">
        <v>1425</v>
      </c>
      <c r="BI1266">
        <v>1</v>
      </c>
      <c r="BJ1266">
        <v>1</v>
      </c>
      <c r="BK1266">
        <v>1</v>
      </c>
      <c r="BL1266">
        <v>0</v>
      </c>
      <c r="BO1266">
        <v>0</v>
      </c>
      <c r="BP1266">
        <v>0</v>
      </c>
      <c r="BW1266" t="str">
        <f>"14:50:01.528"</f>
        <v>14:50:01.528</v>
      </c>
      <c r="CJ1266">
        <v>2</v>
      </c>
      <c r="CK1266">
        <v>2</v>
      </c>
      <c r="CL1266">
        <v>0</v>
      </c>
      <c r="CM1266">
        <v>2</v>
      </c>
      <c r="CN1266">
        <v>0</v>
      </c>
      <c r="CO1266">
        <v>3</v>
      </c>
      <c r="CP1266" t="s">
        <v>119</v>
      </c>
      <c r="CQ1266">
        <v>232</v>
      </c>
      <c r="CR1266">
        <v>1</v>
      </c>
      <c r="CW1266">
        <v>15504019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1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>"12/16/2021 14:50:01.788"</f>
        <v>12/16/2021 14:50:01.788</v>
      </c>
      <c r="C1267" t="str">
        <f t="shared" si="60"/>
        <v>FFDFD3C0</v>
      </c>
      <c r="D1267" t="s">
        <v>124</v>
      </c>
      <c r="E1267">
        <v>10</v>
      </c>
      <c r="F1267">
        <v>1010</v>
      </c>
      <c r="G1267" t="s">
        <v>130</v>
      </c>
      <c r="J1267" t="s">
        <v>125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"14:50:01.523"</f>
        <v>14:50:01.523</v>
      </c>
      <c r="T1267" t="str">
        <f>"14:49:59.123"</f>
        <v>14:49:59.123</v>
      </c>
      <c r="U1267" t="str">
        <f t="shared" si="57"/>
        <v>A0F928</v>
      </c>
      <c r="V1267">
        <v>0</v>
      </c>
      <c r="W1267">
        <v>0</v>
      </c>
      <c r="X1267">
        <v>2</v>
      </c>
      <c r="Z1267">
        <v>0</v>
      </c>
      <c r="AA1267">
        <v>9</v>
      </c>
      <c r="AB1267">
        <v>3</v>
      </c>
      <c r="AC1267">
        <v>0</v>
      </c>
      <c r="AD1267">
        <v>10</v>
      </c>
      <c r="AE1267">
        <v>0</v>
      </c>
      <c r="AF1267">
        <v>0</v>
      </c>
      <c r="AG1267">
        <v>2</v>
      </c>
      <c r="AH1267">
        <v>1</v>
      </c>
      <c r="AI1267" t="s">
        <v>716</v>
      </c>
      <c r="AJ1267">
        <v>35.792383999999998</v>
      </c>
      <c r="AK1267" t="s">
        <v>165</v>
      </c>
      <c r="AL1267">
        <v>-84.013503</v>
      </c>
      <c r="AM1267">
        <v>25</v>
      </c>
      <c r="AN1267">
        <v>1200</v>
      </c>
      <c r="AO1267" t="s">
        <v>118</v>
      </c>
      <c r="AP1267">
        <v>-95</v>
      </c>
      <c r="AQ1267">
        <v>-94</v>
      </c>
      <c r="AR1267">
        <v>1088</v>
      </c>
      <c r="AZ1267">
        <v>300</v>
      </c>
      <c r="BA1267">
        <v>1</v>
      </c>
      <c r="BB1267" t="str">
        <f t="shared" si="58"/>
        <v xml:space="preserve">N162AM  </v>
      </c>
      <c r="BC1267">
        <v>1</v>
      </c>
      <c r="BE1267">
        <v>0</v>
      </c>
      <c r="BF1267">
        <v>0</v>
      </c>
      <c r="BG1267">
        <v>0</v>
      </c>
      <c r="BH1267">
        <v>1425</v>
      </c>
      <c r="BI1267">
        <v>1</v>
      </c>
      <c r="BJ1267">
        <v>1</v>
      </c>
      <c r="BK1267">
        <v>1</v>
      </c>
      <c r="BL1267">
        <v>0</v>
      </c>
      <c r="BO1267">
        <v>0</v>
      </c>
      <c r="BP1267">
        <v>0</v>
      </c>
      <c r="BW1267" t="str">
        <f>"14:50:01.528"</f>
        <v>14:50:01.528</v>
      </c>
      <c r="CJ1267">
        <v>2</v>
      </c>
      <c r="CK1267">
        <v>2</v>
      </c>
      <c r="CL1267">
        <v>0</v>
      </c>
      <c r="CM1267">
        <v>2</v>
      </c>
      <c r="CN1267">
        <v>0</v>
      </c>
      <c r="CO1267">
        <v>3</v>
      </c>
      <c r="CP1267" t="s">
        <v>119</v>
      </c>
      <c r="CQ1267">
        <v>232</v>
      </c>
      <c r="CR1267">
        <v>1</v>
      </c>
      <c r="CW1267">
        <v>15504019</v>
      </c>
      <c r="CY1267">
        <v>0</v>
      </c>
      <c r="CZ1267">
        <v>0</v>
      </c>
      <c r="DA1267">
        <v>1</v>
      </c>
      <c r="DB1267">
        <v>0</v>
      </c>
      <c r="DC1267">
        <v>0</v>
      </c>
      <c r="DD1267">
        <v>1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>"12/16/2021 14:50:01.788"</f>
        <v>12/16/2021 14:50:01.788</v>
      </c>
      <c r="C1268" t="str">
        <f t="shared" si="60"/>
        <v>FFDFD3C0</v>
      </c>
      <c r="D1268" t="s">
        <v>124</v>
      </c>
      <c r="E1268">
        <v>5</v>
      </c>
      <c r="F1268">
        <v>1005</v>
      </c>
      <c r="G1268" t="s">
        <v>114</v>
      </c>
      <c r="J1268" t="s">
        <v>125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"14:50:01.523"</f>
        <v>14:50:01.523</v>
      </c>
      <c r="T1268" t="str">
        <f>"14:49:59.123"</f>
        <v>14:49:59.123</v>
      </c>
      <c r="U1268" t="str">
        <f t="shared" si="57"/>
        <v>A0F928</v>
      </c>
      <c r="V1268">
        <v>0</v>
      </c>
      <c r="W1268">
        <v>0</v>
      </c>
      <c r="X1268">
        <v>2</v>
      </c>
      <c r="Z1268">
        <v>0</v>
      </c>
      <c r="AA1268">
        <v>9</v>
      </c>
      <c r="AB1268">
        <v>3</v>
      </c>
      <c r="AC1268">
        <v>0</v>
      </c>
      <c r="AD1268">
        <v>10</v>
      </c>
      <c r="AE1268">
        <v>0</v>
      </c>
      <c r="AF1268">
        <v>0</v>
      </c>
      <c r="AG1268">
        <v>2</v>
      </c>
      <c r="AH1268">
        <v>1</v>
      </c>
      <c r="AI1268" t="s">
        <v>716</v>
      </c>
      <c r="AJ1268">
        <v>35.792383999999998</v>
      </c>
      <c r="AK1268" t="s">
        <v>165</v>
      </c>
      <c r="AL1268">
        <v>-84.013503</v>
      </c>
      <c r="AM1268">
        <v>25</v>
      </c>
      <c r="AN1268">
        <v>1200</v>
      </c>
      <c r="AO1268" t="s">
        <v>118</v>
      </c>
      <c r="AP1268">
        <v>-95</v>
      </c>
      <c r="AQ1268">
        <v>-94</v>
      </c>
      <c r="AR1268">
        <v>1088</v>
      </c>
      <c r="AZ1268">
        <v>300</v>
      </c>
      <c r="BA1268">
        <v>1</v>
      </c>
      <c r="BB1268" t="str">
        <f t="shared" si="58"/>
        <v xml:space="preserve">N162AM  </v>
      </c>
      <c r="BC1268">
        <v>1</v>
      </c>
      <c r="BE1268">
        <v>0</v>
      </c>
      <c r="BF1268">
        <v>0</v>
      </c>
      <c r="BG1268">
        <v>0</v>
      </c>
      <c r="BH1268">
        <v>1425</v>
      </c>
      <c r="BI1268">
        <v>1</v>
      </c>
      <c r="BJ1268">
        <v>1</v>
      </c>
      <c r="BK1268">
        <v>1</v>
      </c>
      <c r="BL1268">
        <v>0</v>
      </c>
      <c r="BO1268">
        <v>0</v>
      </c>
      <c r="BP1268">
        <v>0</v>
      </c>
      <c r="BW1268" t="str">
        <f>"14:50:01.528"</f>
        <v>14:50:01.528</v>
      </c>
      <c r="CJ1268">
        <v>2</v>
      </c>
      <c r="CK1268">
        <v>2</v>
      </c>
      <c r="CL1268">
        <v>0</v>
      </c>
      <c r="CM1268">
        <v>2</v>
      </c>
      <c r="CN1268">
        <v>0</v>
      </c>
      <c r="CO1268">
        <v>3</v>
      </c>
      <c r="CP1268" t="s">
        <v>119</v>
      </c>
      <c r="CQ1268">
        <v>232</v>
      </c>
      <c r="CR1268">
        <v>1</v>
      </c>
      <c r="CW1268">
        <v>15504019</v>
      </c>
      <c r="CY1268">
        <v>0</v>
      </c>
      <c r="CZ1268">
        <v>0</v>
      </c>
      <c r="DA1268">
        <v>1</v>
      </c>
      <c r="DB1268">
        <v>0</v>
      </c>
      <c r="DC1268">
        <v>0</v>
      </c>
      <c r="DD1268">
        <v>1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>"12/16/2021 14:50:01.788"</f>
        <v>12/16/2021 14:50:01.788</v>
      </c>
      <c r="C1269" t="str">
        <f t="shared" si="60"/>
        <v>FFDFD3C0</v>
      </c>
      <c r="D1269" t="s">
        <v>113</v>
      </c>
      <c r="E1269">
        <v>8</v>
      </c>
      <c r="H1269">
        <v>176</v>
      </c>
      <c r="I1269" t="s">
        <v>114</v>
      </c>
      <c r="J1269" t="s">
        <v>115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"14:50:01.523"</f>
        <v>14:50:01.523</v>
      </c>
      <c r="T1269" t="str">
        <f>"14:49:59.123"</f>
        <v>14:49:59.123</v>
      </c>
      <c r="U1269" t="str">
        <f t="shared" si="57"/>
        <v>A0F928</v>
      </c>
      <c r="V1269">
        <v>0</v>
      </c>
      <c r="W1269">
        <v>0</v>
      </c>
      <c r="X1269">
        <v>2</v>
      </c>
      <c r="Z1269">
        <v>0</v>
      </c>
      <c r="AA1269">
        <v>9</v>
      </c>
      <c r="AB1269">
        <v>3</v>
      </c>
      <c r="AC1269">
        <v>0</v>
      </c>
      <c r="AD1269">
        <v>10</v>
      </c>
      <c r="AE1269">
        <v>0</v>
      </c>
      <c r="AF1269">
        <v>0</v>
      </c>
      <c r="AG1269">
        <v>2</v>
      </c>
      <c r="AH1269">
        <v>1</v>
      </c>
      <c r="AI1269" t="s">
        <v>716</v>
      </c>
      <c r="AJ1269">
        <v>35.792383999999998</v>
      </c>
      <c r="AK1269" t="s">
        <v>165</v>
      </c>
      <c r="AL1269">
        <v>-84.013503</v>
      </c>
      <c r="AM1269">
        <v>25</v>
      </c>
      <c r="AN1269">
        <v>1200</v>
      </c>
      <c r="AO1269" t="s">
        <v>118</v>
      </c>
      <c r="AP1269">
        <v>-95</v>
      </c>
      <c r="AQ1269">
        <v>-94</v>
      </c>
      <c r="AR1269">
        <v>1088</v>
      </c>
      <c r="AZ1269">
        <v>300</v>
      </c>
      <c r="BA1269">
        <v>1</v>
      </c>
      <c r="BB1269" t="str">
        <f t="shared" si="58"/>
        <v xml:space="preserve">N162AM  </v>
      </c>
      <c r="BC1269">
        <v>1</v>
      </c>
      <c r="BE1269">
        <v>0</v>
      </c>
      <c r="BF1269">
        <v>0</v>
      </c>
      <c r="BG1269">
        <v>0</v>
      </c>
      <c r="BH1269">
        <v>1425</v>
      </c>
      <c r="BI1269">
        <v>1</v>
      </c>
      <c r="BJ1269">
        <v>1</v>
      </c>
      <c r="BK1269">
        <v>1</v>
      </c>
      <c r="BL1269">
        <v>0</v>
      </c>
      <c r="BO1269">
        <v>0</v>
      </c>
      <c r="BP1269">
        <v>0</v>
      </c>
      <c r="BW1269" t="str">
        <f>"14:50:01.528"</f>
        <v>14:50:01.528</v>
      </c>
      <c r="CJ1269">
        <v>2</v>
      </c>
      <c r="CK1269">
        <v>2</v>
      </c>
      <c r="CL1269">
        <v>0</v>
      </c>
      <c r="CM1269">
        <v>2</v>
      </c>
      <c r="CN1269">
        <v>0</v>
      </c>
      <c r="CO1269">
        <v>3</v>
      </c>
      <c r="CP1269" t="s">
        <v>119</v>
      </c>
      <c r="CQ1269">
        <v>232</v>
      </c>
      <c r="CR1269">
        <v>1</v>
      </c>
      <c r="CW1269">
        <v>15504019</v>
      </c>
      <c r="CY1269">
        <v>0</v>
      </c>
      <c r="CZ1269">
        <v>0</v>
      </c>
      <c r="DA1269">
        <v>1</v>
      </c>
      <c r="DB1269">
        <v>0</v>
      </c>
      <c r="DC1269">
        <v>0</v>
      </c>
      <c r="DD1269">
        <v>1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>"12/16/2021 14:50:03.288"</f>
        <v>12/16/2021 14:50:03.288</v>
      </c>
      <c r="C1270" t="str">
        <f t="shared" si="60"/>
        <v>FFDFD3C0</v>
      </c>
      <c r="D1270" t="s">
        <v>133</v>
      </c>
      <c r="E1270">
        <v>44</v>
      </c>
      <c r="H1270">
        <v>131</v>
      </c>
      <c r="I1270" t="s">
        <v>134</v>
      </c>
      <c r="J1270" t="s">
        <v>135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"14:50:03.086"</f>
        <v>14:50:03.086</v>
      </c>
      <c r="T1270" t="str">
        <f>"14:50:02.086"</f>
        <v>14:50:02.086</v>
      </c>
      <c r="U1270" t="str">
        <f t="shared" si="57"/>
        <v>A0F928</v>
      </c>
      <c r="V1270">
        <v>0</v>
      </c>
      <c r="W1270">
        <v>0</v>
      </c>
      <c r="X1270">
        <v>2</v>
      </c>
      <c r="Z1270">
        <v>0</v>
      </c>
      <c r="AA1270">
        <v>9</v>
      </c>
      <c r="AB1270">
        <v>3</v>
      </c>
      <c r="AC1270">
        <v>0</v>
      </c>
      <c r="AD1270">
        <v>10</v>
      </c>
      <c r="AE1270">
        <v>0</v>
      </c>
      <c r="AF1270">
        <v>0</v>
      </c>
      <c r="AG1270">
        <v>2</v>
      </c>
      <c r="AH1270">
        <v>1</v>
      </c>
      <c r="AI1270" t="s">
        <v>154</v>
      </c>
      <c r="AJ1270">
        <v>35.791697999999997</v>
      </c>
      <c r="AK1270" t="s">
        <v>717</v>
      </c>
      <c r="AL1270">
        <v>-84.014381999999998</v>
      </c>
      <c r="AM1270">
        <v>25</v>
      </c>
      <c r="AN1270">
        <v>1225</v>
      </c>
      <c r="AO1270" t="s">
        <v>118</v>
      </c>
      <c r="AP1270">
        <v>-95</v>
      </c>
      <c r="AQ1270">
        <v>-95</v>
      </c>
      <c r="AR1270">
        <v>1024</v>
      </c>
      <c r="AZ1270">
        <v>300</v>
      </c>
      <c r="BA1270">
        <v>1</v>
      </c>
      <c r="BB1270" t="str">
        <f t="shared" si="58"/>
        <v xml:space="preserve">N162AM  </v>
      </c>
      <c r="BC1270">
        <v>1</v>
      </c>
      <c r="BE1270">
        <v>0</v>
      </c>
      <c r="BF1270">
        <v>0</v>
      </c>
      <c r="BG1270">
        <v>0</v>
      </c>
      <c r="BH1270">
        <v>1475</v>
      </c>
      <c r="BI1270">
        <v>1</v>
      </c>
      <c r="BJ1270">
        <v>1</v>
      </c>
      <c r="BK1270">
        <v>1</v>
      </c>
      <c r="BL1270">
        <v>0</v>
      </c>
      <c r="BO1270">
        <v>0</v>
      </c>
      <c r="BP1270">
        <v>0</v>
      </c>
      <c r="BW1270" t="str">
        <f>"14:50:03.088"</f>
        <v>14:50:03.088</v>
      </c>
      <c r="CJ1270">
        <v>2</v>
      </c>
      <c r="CK1270">
        <v>2</v>
      </c>
      <c r="CL1270">
        <v>0</v>
      </c>
      <c r="CM1270">
        <v>2</v>
      </c>
      <c r="CN1270">
        <v>0</v>
      </c>
      <c r="CO1270">
        <v>2</v>
      </c>
      <c r="CP1270" t="s">
        <v>119</v>
      </c>
      <c r="CQ1270">
        <v>232</v>
      </c>
      <c r="CR1270">
        <v>1</v>
      </c>
      <c r="CW1270">
        <v>15506325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1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>"12/16/2021 14:50:03.288"</f>
        <v>12/16/2021 14:50:03.288</v>
      </c>
      <c r="C1271" t="str">
        <f t="shared" si="60"/>
        <v>FFDFD3C0</v>
      </c>
      <c r="D1271" t="s">
        <v>124</v>
      </c>
      <c r="E1271">
        <v>10</v>
      </c>
      <c r="F1271">
        <v>1010</v>
      </c>
      <c r="G1271" t="s">
        <v>130</v>
      </c>
      <c r="J1271" t="s">
        <v>125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"14:50:03.086"</f>
        <v>14:50:03.086</v>
      </c>
      <c r="T1271" t="str">
        <f>"14:50:02.086"</f>
        <v>14:50:02.086</v>
      </c>
      <c r="U1271" t="str">
        <f t="shared" si="57"/>
        <v>A0F928</v>
      </c>
      <c r="V1271">
        <v>0</v>
      </c>
      <c r="W1271">
        <v>0</v>
      </c>
      <c r="X1271">
        <v>2</v>
      </c>
      <c r="Z1271">
        <v>0</v>
      </c>
      <c r="AA1271">
        <v>9</v>
      </c>
      <c r="AB1271">
        <v>3</v>
      </c>
      <c r="AC1271">
        <v>0</v>
      </c>
      <c r="AD1271">
        <v>10</v>
      </c>
      <c r="AE1271">
        <v>0</v>
      </c>
      <c r="AF1271">
        <v>0</v>
      </c>
      <c r="AG1271">
        <v>2</v>
      </c>
      <c r="AH1271">
        <v>1</v>
      </c>
      <c r="AI1271" t="s">
        <v>154</v>
      </c>
      <c r="AJ1271">
        <v>35.791697999999997</v>
      </c>
      <c r="AK1271" t="s">
        <v>717</v>
      </c>
      <c r="AL1271">
        <v>-84.014381999999998</v>
      </c>
      <c r="AM1271">
        <v>25</v>
      </c>
      <c r="AN1271">
        <v>1225</v>
      </c>
      <c r="AO1271" t="s">
        <v>118</v>
      </c>
      <c r="AP1271">
        <v>-95</v>
      </c>
      <c r="AQ1271">
        <v>-95</v>
      </c>
      <c r="AR1271">
        <v>1024</v>
      </c>
      <c r="AZ1271">
        <v>300</v>
      </c>
      <c r="BA1271">
        <v>1</v>
      </c>
      <c r="BB1271" t="str">
        <f t="shared" si="58"/>
        <v xml:space="preserve">N162AM  </v>
      </c>
      <c r="BC1271">
        <v>1</v>
      </c>
      <c r="BE1271">
        <v>0</v>
      </c>
      <c r="BF1271">
        <v>0</v>
      </c>
      <c r="BG1271">
        <v>0</v>
      </c>
      <c r="BH1271">
        <v>1475</v>
      </c>
      <c r="BI1271">
        <v>1</v>
      </c>
      <c r="BJ1271">
        <v>1</v>
      </c>
      <c r="BK1271">
        <v>1</v>
      </c>
      <c r="BL1271">
        <v>0</v>
      </c>
      <c r="BO1271">
        <v>0</v>
      </c>
      <c r="BP1271">
        <v>0</v>
      </c>
      <c r="BW1271" t="str">
        <f>"14:50:03.088"</f>
        <v>14:50:03.088</v>
      </c>
      <c r="CJ1271">
        <v>2</v>
      </c>
      <c r="CK1271">
        <v>2</v>
      </c>
      <c r="CL1271">
        <v>0</v>
      </c>
      <c r="CM1271">
        <v>2</v>
      </c>
      <c r="CN1271">
        <v>0</v>
      </c>
      <c r="CO1271">
        <v>2</v>
      </c>
      <c r="CP1271" t="s">
        <v>119</v>
      </c>
      <c r="CQ1271">
        <v>232</v>
      </c>
      <c r="CR1271">
        <v>1</v>
      </c>
      <c r="CW1271">
        <v>15506325</v>
      </c>
      <c r="CY1271">
        <v>0</v>
      </c>
      <c r="CZ1271">
        <v>0</v>
      </c>
      <c r="DA1271">
        <v>1</v>
      </c>
      <c r="DB1271">
        <v>0</v>
      </c>
      <c r="DC1271">
        <v>0</v>
      </c>
      <c r="DD1271">
        <v>1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>"12/16/2021 14:50:03.288"</f>
        <v>12/16/2021 14:50:03.288</v>
      </c>
      <c r="C1272" t="str">
        <f t="shared" si="60"/>
        <v>FFDFD3C0</v>
      </c>
      <c r="D1272" t="s">
        <v>124</v>
      </c>
      <c r="E1272">
        <v>5</v>
      </c>
      <c r="F1272">
        <v>1005</v>
      </c>
      <c r="G1272" t="s">
        <v>114</v>
      </c>
      <c r="J1272" t="s">
        <v>125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"14:50:03.086"</f>
        <v>14:50:03.086</v>
      </c>
      <c r="T1272" t="str">
        <f>"14:50:02.086"</f>
        <v>14:50:02.086</v>
      </c>
      <c r="U1272" t="str">
        <f t="shared" si="57"/>
        <v>A0F928</v>
      </c>
      <c r="V1272">
        <v>0</v>
      </c>
      <c r="W1272">
        <v>0</v>
      </c>
      <c r="X1272">
        <v>2</v>
      </c>
      <c r="Z1272">
        <v>0</v>
      </c>
      <c r="AA1272">
        <v>9</v>
      </c>
      <c r="AB1272">
        <v>3</v>
      </c>
      <c r="AC1272">
        <v>0</v>
      </c>
      <c r="AD1272">
        <v>10</v>
      </c>
      <c r="AE1272">
        <v>0</v>
      </c>
      <c r="AF1272">
        <v>0</v>
      </c>
      <c r="AG1272">
        <v>2</v>
      </c>
      <c r="AH1272">
        <v>1</v>
      </c>
      <c r="AI1272" t="s">
        <v>154</v>
      </c>
      <c r="AJ1272">
        <v>35.791697999999997</v>
      </c>
      <c r="AK1272" t="s">
        <v>717</v>
      </c>
      <c r="AL1272">
        <v>-84.014381999999998</v>
      </c>
      <c r="AM1272">
        <v>25</v>
      </c>
      <c r="AN1272">
        <v>1225</v>
      </c>
      <c r="AO1272" t="s">
        <v>118</v>
      </c>
      <c r="AP1272">
        <v>-95</v>
      </c>
      <c r="AQ1272">
        <v>-95</v>
      </c>
      <c r="AR1272">
        <v>1024</v>
      </c>
      <c r="AZ1272">
        <v>300</v>
      </c>
      <c r="BA1272">
        <v>1</v>
      </c>
      <c r="BB1272" t="str">
        <f t="shared" si="58"/>
        <v xml:space="preserve">N162AM  </v>
      </c>
      <c r="BC1272">
        <v>1</v>
      </c>
      <c r="BE1272">
        <v>0</v>
      </c>
      <c r="BF1272">
        <v>0</v>
      </c>
      <c r="BG1272">
        <v>0</v>
      </c>
      <c r="BH1272">
        <v>1475</v>
      </c>
      <c r="BI1272">
        <v>1</v>
      </c>
      <c r="BJ1272">
        <v>1</v>
      </c>
      <c r="BK1272">
        <v>1</v>
      </c>
      <c r="BL1272">
        <v>0</v>
      </c>
      <c r="BO1272">
        <v>0</v>
      </c>
      <c r="BP1272">
        <v>0</v>
      </c>
      <c r="BW1272" t="str">
        <f>"14:50:03.088"</f>
        <v>14:50:03.088</v>
      </c>
      <c r="CJ1272">
        <v>2</v>
      </c>
      <c r="CK1272">
        <v>2</v>
      </c>
      <c r="CL1272">
        <v>0</v>
      </c>
      <c r="CM1272">
        <v>2</v>
      </c>
      <c r="CN1272">
        <v>0</v>
      </c>
      <c r="CO1272">
        <v>2</v>
      </c>
      <c r="CP1272" t="s">
        <v>119</v>
      </c>
      <c r="CQ1272">
        <v>232</v>
      </c>
      <c r="CR1272">
        <v>1</v>
      </c>
      <c r="CW1272">
        <v>15506325</v>
      </c>
      <c r="CY1272">
        <v>0</v>
      </c>
      <c r="CZ1272">
        <v>0</v>
      </c>
      <c r="DA1272">
        <v>1</v>
      </c>
      <c r="DB1272">
        <v>0</v>
      </c>
      <c r="DC1272">
        <v>0</v>
      </c>
      <c r="DD1272">
        <v>1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>"12/16/2021 14:50:03.288"</f>
        <v>12/16/2021 14:50:03.288</v>
      </c>
      <c r="C1273" t="str">
        <f t="shared" si="60"/>
        <v>FFDFD3C0</v>
      </c>
      <c r="D1273" t="s">
        <v>113</v>
      </c>
      <c r="E1273">
        <v>8</v>
      </c>
      <c r="H1273">
        <v>176</v>
      </c>
      <c r="I1273" t="s">
        <v>114</v>
      </c>
      <c r="J1273" t="s">
        <v>115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"14:50:03.086"</f>
        <v>14:50:03.086</v>
      </c>
      <c r="T1273" t="str">
        <f>"14:50:02.086"</f>
        <v>14:50:02.086</v>
      </c>
      <c r="U1273" t="str">
        <f t="shared" si="57"/>
        <v>A0F928</v>
      </c>
      <c r="V1273">
        <v>0</v>
      </c>
      <c r="W1273">
        <v>0</v>
      </c>
      <c r="X1273">
        <v>2</v>
      </c>
      <c r="Z1273">
        <v>0</v>
      </c>
      <c r="AA1273">
        <v>9</v>
      </c>
      <c r="AB1273">
        <v>3</v>
      </c>
      <c r="AC1273">
        <v>0</v>
      </c>
      <c r="AD1273">
        <v>10</v>
      </c>
      <c r="AE1273">
        <v>0</v>
      </c>
      <c r="AF1273">
        <v>0</v>
      </c>
      <c r="AG1273">
        <v>2</v>
      </c>
      <c r="AH1273">
        <v>1</v>
      </c>
      <c r="AI1273" t="s">
        <v>154</v>
      </c>
      <c r="AJ1273">
        <v>35.791697999999997</v>
      </c>
      <c r="AK1273" t="s">
        <v>717</v>
      </c>
      <c r="AL1273">
        <v>-84.014381999999998</v>
      </c>
      <c r="AM1273">
        <v>25</v>
      </c>
      <c r="AN1273">
        <v>1225</v>
      </c>
      <c r="AO1273" t="s">
        <v>118</v>
      </c>
      <c r="AP1273">
        <v>-95</v>
      </c>
      <c r="AQ1273">
        <v>-95</v>
      </c>
      <c r="AR1273">
        <v>1024</v>
      </c>
      <c r="AZ1273">
        <v>300</v>
      </c>
      <c r="BA1273">
        <v>1</v>
      </c>
      <c r="BB1273" t="str">
        <f t="shared" si="58"/>
        <v xml:space="preserve">N162AM  </v>
      </c>
      <c r="BC1273">
        <v>1</v>
      </c>
      <c r="BE1273">
        <v>0</v>
      </c>
      <c r="BF1273">
        <v>0</v>
      </c>
      <c r="BG1273">
        <v>0</v>
      </c>
      <c r="BH1273">
        <v>1475</v>
      </c>
      <c r="BI1273">
        <v>1</v>
      </c>
      <c r="BJ1273">
        <v>1</v>
      </c>
      <c r="BK1273">
        <v>1</v>
      </c>
      <c r="BL1273">
        <v>0</v>
      </c>
      <c r="BO1273">
        <v>0</v>
      </c>
      <c r="BP1273">
        <v>0</v>
      </c>
      <c r="BW1273" t="str">
        <f>"14:50:03.088"</f>
        <v>14:50:03.088</v>
      </c>
      <c r="CJ1273">
        <v>2</v>
      </c>
      <c r="CK1273">
        <v>2</v>
      </c>
      <c r="CL1273">
        <v>0</v>
      </c>
      <c r="CM1273">
        <v>2</v>
      </c>
      <c r="CN1273">
        <v>0</v>
      </c>
      <c r="CO1273">
        <v>2</v>
      </c>
      <c r="CP1273" t="s">
        <v>119</v>
      </c>
      <c r="CQ1273">
        <v>232</v>
      </c>
      <c r="CR1273">
        <v>1</v>
      </c>
      <c r="CW1273">
        <v>15506325</v>
      </c>
      <c r="CY1273">
        <v>0</v>
      </c>
      <c r="CZ1273">
        <v>0</v>
      </c>
      <c r="DA1273">
        <v>1</v>
      </c>
      <c r="DB1273">
        <v>0</v>
      </c>
      <c r="DC1273">
        <v>0</v>
      </c>
      <c r="DD1273">
        <v>1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>"12/16/2021 14:50:04.304"</f>
        <v>12/16/2021 14:50:04.304</v>
      </c>
      <c r="C1274" t="str">
        <f t="shared" si="60"/>
        <v>FFDFD3C0</v>
      </c>
      <c r="D1274" t="s">
        <v>133</v>
      </c>
      <c r="E1274">
        <v>44</v>
      </c>
      <c r="H1274">
        <v>131</v>
      </c>
      <c r="I1274" t="s">
        <v>134</v>
      </c>
      <c r="J1274" t="s">
        <v>135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"14:50:04.086"</f>
        <v>14:50:04.086</v>
      </c>
      <c r="T1274" t="str">
        <f>"14:50:03.086"</f>
        <v>14:50:03.086</v>
      </c>
      <c r="U1274" t="str">
        <f t="shared" si="57"/>
        <v>A0F928</v>
      </c>
      <c r="V1274">
        <v>0</v>
      </c>
      <c r="W1274">
        <v>0</v>
      </c>
      <c r="X1274">
        <v>2</v>
      </c>
      <c r="Z1274">
        <v>0</v>
      </c>
      <c r="AA1274">
        <v>9</v>
      </c>
      <c r="AB1274">
        <v>3</v>
      </c>
      <c r="AC1274">
        <v>0</v>
      </c>
      <c r="AD1274">
        <v>10</v>
      </c>
      <c r="AE1274">
        <v>0</v>
      </c>
      <c r="AF1274">
        <v>0</v>
      </c>
      <c r="AG1274">
        <v>2</v>
      </c>
      <c r="AH1274">
        <v>1</v>
      </c>
      <c r="AI1274" t="s">
        <v>718</v>
      </c>
      <c r="AJ1274">
        <v>35.791268000000002</v>
      </c>
      <c r="AK1274" t="s">
        <v>719</v>
      </c>
      <c r="AL1274">
        <v>-84.014961999999997</v>
      </c>
      <c r="AM1274">
        <v>25</v>
      </c>
      <c r="AN1274">
        <v>1250</v>
      </c>
      <c r="AO1274" t="s">
        <v>118</v>
      </c>
      <c r="AP1274">
        <v>-96</v>
      </c>
      <c r="AQ1274">
        <v>-95</v>
      </c>
      <c r="AR1274">
        <v>960</v>
      </c>
      <c r="AZ1274">
        <v>300</v>
      </c>
      <c r="BA1274">
        <v>1</v>
      </c>
      <c r="BB1274" t="str">
        <f t="shared" si="58"/>
        <v xml:space="preserve">N162AM  </v>
      </c>
      <c r="BC1274">
        <v>1</v>
      </c>
      <c r="BE1274">
        <v>0</v>
      </c>
      <c r="BF1274">
        <v>0</v>
      </c>
      <c r="BG1274">
        <v>0</v>
      </c>
      <c r="BH1274">
        <v>1500</v>
      </c>
      <c r="BI1274">
        <v>1</v>
      </c>
      <c r="BJ1274">
        <v>1</v>
      </c>
      <c r="BK1274">
        <v>1</v>
      </c>
      <c r="BL1274">
        <v>0</v>
      </c>
      <c r="BO1274">
        <v>0</v>
      </c>
      <c r="BP1274">
        <v>0</v>
      </c>
      <c r="BW1274" t="str">
        <f>"14:50:04.091"</f>
        <v>14:50:04.091</v>
      </c>
      <c r="CJ1274">
        <v>2</v>
      </c>
      <c r="CK1274">
        <v>2</v>
      </c>
      <c r="CL1274">
        <v>0</v>
      </c>
      <c r="CM1274">
        <v>2</v>
      </c>
      <c r="CN1274">
        <v>0</v>
      </c>
      <c r="CO1274">
        <v>3</v>
      </c>
      <c r="CP1274" t="s">
        <v>119</v>
      </c>
      <c r="CQ1274">
        <v>232</v>
      </c>
      <c r="CR1274">
        <v>1</v>
      </c>
      <c r="CW1274">
        <v>15507901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1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"12/16/2021 14:50:04.304"</f>
        <v>12/16/2021 14:50:04.304</v>
      </c>
      <c r="C1275" t="str">
        <f t="shared" si="60"/>
        <v>FFDFD3C0</v>
      </c>
      <c r="D1275" t="s">
        <v>124</v>
      </c>
      <c r="E1275">
        <v>10</v>
      </c>
      <c r="F1275">
        <v>1010</v>
      </c>
      <c r="G1275" t="s">
        <v>130</v>
      </c>
      <c r="J1275" t="s">
        <v>125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"14:50:04.086"</f>
        <v>14:50:04.086</v>
      </c>
      <c r="T1275" t="str">
        <f>"14:50:03.086"</f>
        <v>14:50:03.086</v>
      </c>
      <c r="U1275" t="str">
        <f t="shared" si="57"/>
        <v>A0F928</v>
      </c>
      <c r="V1275">
        <v>0</v>
      </c>
      <c r="W1275">
        <v>0</v>
      </c>
      <c r="X1275">
        <v>2</v>
      </c>
      <c r="Z1275">
        <v>0</v>
      </c>
      <c r="AA1275">
        <v>9</v>
      </c>
      <c r="AB1275">
        <v>3</v>
      </c>
      <c r="AC1275">
        <v>0</v>
      </c>
      <c r="AD1275">
        <v>10</v>
      </c>
      <c r="AE1275">
        <v>0</v>
      </c>
      <c r="AF1275">
        <v>0</v>
      </c>
      <c r="AG1275">
        <v>2</v>
      </c>
      <c r="AH1275">
        <v>1</v>
      </c>
      <c r="AI1275" t="s">
        <v>718</v>
      </c>
      <c r="AJ1275">
        <v>35.791268000000002</v>
      </c>
      <c r="AK1275" t="s">
        <v>719</v>
      </c>
      <c r="AL1275">
        <v>-84.014961999999997</v>
      </c>
      <c r="AM1275">
        <v>25</v>
      </c>
      <c r="AN1275">
        <v>1250</v>
      </c>
      <c r="AO1275" t="s">
        <v>118</v>
      </c>
      <c r="AP1275">
        <v>-96</v>
      </c>
      <c r="AQ1275">
        <v>-95</v>
      </c>
      <c r="AR1275">
        <v>960</v>
      </c>
      <c r="AZ1275">
        <v>300</v>
      </c>
      <c r="BA1275">
        <v>1</v>
      </c>
      <c r="BB1275" t="str">
        <f t="shared" si="58"/>
        <v xml:space="preserve">N162AM  </v>
      </c>
      <c r="BC1275">
        <v>1</v>
      </c>
      <c r="BE1275">
        <v>0</v>
      </c>
      <c r="BF1275">
        <v>0</v>
      </c>
      <c r="BG1275">
        <v>0</v>
      </c>
      <c r="BH1275">
        <v>1500</v>
      </c>
      <c r="BI1275">
        <v>1</v>
      </c>
      <c r="BJ1275">
        <v>1</v>
      </c>
      <c r="BK1275">
        <v>1</v>
      </c>
      <c r="BL1275">
        <v>0</v>
      </c>
      <c r="BO1275">
        <v>0</v>
      </c>
      <c r="BP1275">
        <v>0</v>
      </c>
      <c r="BW1275" t="str">
        <f>"14:50:04.091"</f>
        <v>14:50:04.091</v>
      </c>
      <c r="CJ1275">
        <v>2</v>
      </c>
      <c r="CK1275">
        <v>2</v>
      </c>
      <c r="CL1275">
        <v>0</v>
      </c>
      <c r="CM1275">
        <v>2</v>
      </c>
      <c r="CN1275">
        <v>0</v>
      </c>
      <c r="CO1275">
        <v>3</v>
      </c>
      <c r="CP1275" t="s">
        <v>119</v>
      </c>
      <c r="CQ1275">
        <v>232</v>
      </c>
      <c r="CR1275">
        <v>1</v>
      </c>
      <c r="CW1275">
        <v>15507901</v>
      </c>
      <c r="CY1275">
        <v>0</v>
      </c>
      <c r="CZ1275">
        <v>0</v>
      </c>
      <c r="DA1275">
        <v>1</v>
      </c>
      <c r="DB1275">
        <v>0</v>
      </c>
      <c r="DC1275">
        <v>0</v>
      </c>
      <c r="DD1275">
        <v>1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>"12/16/2021 14:50:04.304"</f>
        <v>12/16/2021 14:50:04.304</v>
      </c>
      <c r="C1276" t="str">
        <f t="shared" si="60"/>
        <v>FFDFD3C0</v>
      </c>
      <c r="D1276" t="s">
        <v>124</v>
      </c>
      <c r="E1276">
        <v>5</v>
      </c>
      <c r="F1276">
        <v>1005</v>
      </c>
      <c r="G1276" t="s">
        <v>114</v>
      </c>
      <c r="J1276" t="s">
        <v>125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"14:50:04.086"</f>
        <v>14:50:04.086</v>
      </c>
      <c r="T1276" t="str">
        <f>"14:50:03.086"</f>
        <v>14:50:03.086</v>
      </c>
      <c r="U1276" t="str">
        <f t="shared" si="57"/>
        <v>A0F928</v>
      </c>
      <c r="V1276">
        <v>0</v>
      </c>
      <c r="W1276">
        <v>0</v>
      </c>
      <c r="X1276">
        <v>2</v>
      </c>
      <c r="Z1276">
        <v>0</v>
      </c>
      <c r="AA1276">
        <v>9</v>
      </c>
      <c r="AB1276">
        <v>3</v>
      </c>
      <c r="AC1276">
        <v>0</v>
      </c>
      <c r="AD1276">
        <v>10</v>
      </c>
      <c r="AE1276">
        <v>0</v>
      </c>
      <c r="AF1276">
        <v>0</v>
      </c>
      <c r="AG1276">
        <v>2</v>
      </c>
      <c r="AH1276">
        <v>1</v>
      </c>
      <c r="AI1276" t="s">
        <v>718</v>
      </c>
      <c r="AJ1276">
        <v>35.791268000000002</v>
      </c>
      <c r="AK1276" t="s">
        <v>719</v>
      </c>
      <c r="AL1276">
        <v>-84.014961999999997</v>
      </c>
      <c r="AM1276">
        <v>25</v>
      </c>
      <c r="AN1276">
        <v>1250</v>
      </c>
      <c r="AO1276" t="s">
        <v>118</v>
      </c>
      <c r="AP1276">
        <v>-96</v>
      </c>
      <c r="AQ1276">
        <v>-95</v>
      </c>
      <c r="AR1276">
        <v>960</v>
      </c>
      <c r="AZ1276">
        <v>300</v>
      </c>
      <c r="BA1276">
        <v>1</v>
      </c>
      <c r="BB1276" t="str">
        <f t="shared" si="58"/>
        <v xml:space="preserve">N162AM  </v>
      </c>
      <c r="BC1276">
        <v>1</v>
      </c>
      <c r="BE1276">
        <v>0</v>
      </c>
      <c r="BF1276">
        <v>0</v>
      </c>
      <c r="BG1276">
        <v>0</v>
      </c>
      <c r="BH1276">
        <v>1500</v>
      </c>
      <c r="BI1276">
        <v>1</v>
      </c>
      <c r="BJ1276">
        <v>1</v>
      </c>
      <c r="BK1276">
        <v>1</v>
      </c>
      <c r="BL1276">
        <v>0</v>
      </c>
      <c r="BO1276">
        <v>0</v>
      </c>
      <c r="BP1276">
        <v>0</v>
      </c>
      <c r="BW1276" t="str">
        <f>"14:50:04.091"</f>
        <v>14:50:04.091</v>
      </c>
      <c r="CJ1276">
        <v>2</v>
      </c>
      <c r="CK1276">
        <v>2</v>
      </c>
      <c r="CL1276">
        <v>0</v>
      </c>
      <c r="CM1276">
        <v>2</v>
      </c>
      <c r="CN1276">
        <v>0</v>
      </c>
      <c r="CO1276">
        <v>3</v>
      </c>
      <c r="CP1276" t="s">
        <v>119</v>
      </c>
      <c r="CQ1276">
        <v>232</v>
      </c>
      <c r="CR1276">
        <v>1</v>
      </c>
      <c r="CW1276">
        <v>15507901</v>
      </c>
      <c r="CY1276">
        <v>0</v>
      </c>
      <c r="CZ1276">
        <v>0</v>
      </c>
      <c r="DA1276">
        <v>1</v>
      </c>
      <c r="DB1276">
        <v>0</v>
      </c>
      <c r="DC1276">
        <v>0</v>
      </c>
      <c r="DD1276">
        <v>1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"12/16/2021 14:50:04.304"</f>
        <v>12/16/2021 14:50:04.304</v>
      </c>
      <c r="C1277" t="str">
        <f t="shared" si="60"/>
        <v>FFDFD3C0</v>
      </c>
      <c r="D1277" t="s">
        <v>113</v>
      </c>
      <c r="E1277">
        <v>8</v>
      </c>
      <c r="H1277">
        <v>176</v>
      </c>
      <c r="I1277" t="s">
        <v>114</v>
      </c>
      <c r="J1277" t="s">
        <v>115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"14:50:04.086"</f>
        <v>14:50:04.086</v>
      </c>
      <c r="T1277" t="str">
        <f>"14:50:03.086"</f>
        <v>14:50:03.086</v>
      </c>
      <c r="U1277" t="str">
        <f t="shared" si="57"/>
        <v>A0F928</v>
      </c>
      <c r="V1277">
        <v>0</v>
      </c>
      <c r="W1277">
        <v>0</v>
      </c>
      <c r="X1277">
        <v>2</v>
      </c>
      <c r="Z1277">
        <v>0</v>
      </c>
      <c r="AA1277">
        <v>9</v>
      </c>
      <c r="AB1277">
        <v>3</v>
      </c>
      <c r="AC1277">
        <v>0</v>
      </c>
      <c r="AD1277">
        <v>10</v>
      </c>
      <c r="AE1277">
        <v>0</v>
      </c>
      <c r="AF1277">
        <v>0</v>
      </c>
      <c r="AG1277">
        <v>2</v>
      </c>
      <c r="AH1277">
        <v>1</v>
      </c>
      <c r="AI1277" t="s">
        <v>718</v>
      </c>
      <c r="AJ1277">
        <v>35.791268000000002</v>
      </c>
      <c r="AK1277" t="s">
        <v>719</v>
      </c>
      <c r="AL1277">
        <v>-84.014961999999997</v>
      </c>
      <c r="AM1277">
        <v>25</v>
      </c>
      <c r="AN1277">
        <v>1250</v>
      </c>
      <c r="AO1277" t="s">
        <v>118</v>
      </c>
      <c r="AP1277">
        <v>-96</v>
      </c>
      <c r="AQ1277">
        <v>-95</v>
      </c>
      <c r="AR1277">
        <v>960</v>
      </c>
      <c r="AZ1277">
        <v>300</v>
      </c>
      <c r="BA1277">
        <v>1</v>
      </c>
      <c r="BB1277" t="str">
        <f t="shared" si="58"/>
        <v xml:space="preserve">N162AM  </v>
      </c>
      <c r="BC1277">
        <v>1</v>
      </c>
      <c r="BE1277">
        <v>0</v>
      </c>
      <c r="BF1277">
        <v>0</v>
      </c>
      <c r="BG1277">
        <v>0</v>
      </c>
      <c r="BH1277">
        <v>1500</v>
      </c>
      <c r="BI1277">
        <v>1</v>
      </c>
      <c r="BJ1277">
        <v>1</v>
      </c>
      <c r="BK1277">
        <v>1</v>
      </c>
      <c r="BL1277">
        <v>0</v>
      </c>
      <c r="BO1277">
        <v>0</v>
      </c>
      <c r="BP1277">
        <v>0</v>
      </c>
      <c r="BW1277" t="str">
        <f>"14:50:04.091"</f>
        <v>14:50:04.091</v>
      </c>
      <c r="CJ1277">
        <v>2</v>
      </c>
      <c r="CK1277">
        <v>2</v>
      </c>
      <c r="CL1277">
        <v>0</v>
      </c>
      <c r="CM1277">
        <v>2</v>
      </c>
      <c r="CN1277">
        <v>0</v>
      </c>
      <c r="CO1277">
        <v>3</v>
      </c>
      <c r="CP1277" t="s">
        <v>119</v>
      </c>
      <c r="CQ1277">
        <v>232</v>
      </c>
      <c r="CR1277">
        <v>1</v>
      </c>
      <c r="CW1277">
        <v>15507901</v>
      </c>
      <c r="CY1277">
        <v>0</v>
      </c>
      <c r="CZ1277">
        <v>0</v>
      </c>
      <c r="DA1277">
        <v>1</v>
      </c>
      <c r="DB1277">
        <v>0</v>
      </c>
      <c r="DC1277">
        <v>0</v>
      </c>
      <c r="DD1277">
        <v>1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"12/16/2021 14:50:05.399"</f>
        <v>12/16/2021 14:50:05.399</v>
      </c>
      <c r="C1278" t="str">
        <f t="shared" ref="C1278:C1309" si="61">"FFDFD3C0"</f>
        <v>FFDFD3C0</v>
      </c>
      <c r="D1278" t="s">
        <v>133</v>
      </c>
      <c r="E1278">
        <v>44</v>
      </c>
      <c r="H1278">
        <v>131</v>
      </c>
      <c r="I1278" t="s">
        <v>134</v>
      </c>
      <c r="J1278" t="s">
        <v>135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"14:50:05.203"</f>
        <v>14:50:05.203</v>
      </c>
      <c r="T1278" t="str">
        <f>"14:50:03.103"</f>
        <v>14:50:03.103</v>
      </c>
      <c r="U1278" t="str">
        <f t="shared" si="57"/>
        <v>A0F928</v>
      </c>
      <c r="V1278">
        <v>0</v>
      </c>
      <c r="W1278">
        <v>0</v>
      </c>
      <c r="X1278">
        <v>2</v>
      </c>
      <c r="Z1278">
        <v>0</v>
      </c>
      <c r="AA1278">
        <v>9</v>
      </c>
      <c r="AB1278">
        <v>3</v>
      </c>
      <c r="AC1278">
        <v>0</v>
      </c>
      <c r="AD1278">
        <v>10</v>
      </c>
      <c r="AE1278">
        <v>0</v>
      </c>
      <c r="AF1278">
        <v>0</v>
      </c>
      <c r="AG1278">
        <v>2</v>
      </c>
      <c r="AH1278">
        <v>1</v>
      </c>
      <c r="AI1278" t="s">
        <v>720</v>
      </c>
      <c r="AJ1278">
        <v>35.790796</v>
      </c>
      <c r="AK1278" t="s">
        <v>721</v>
      </c>
      <c r="AL1278">
        <v>-84.015540999999999</v>
      </c>
      <c r="AM1278">
        <v>25</v>
      </c>
      <c r="AN1278">
        <v>1250</v>
      </c>
      <c r="AO1278" t="s">
        <v>118</v>
      </c>
      <c r="AP1278">
        <v>-96</v>
      </c>
      <c r="AQ1278">
        <v>-95</v>
      </c>
      <c r="AR1278">
        <v>960</v>
      </c>
      <c r="AZ1278">
        <v>300</v>
      </c>
      <c r="BA1278">
        <v>1</v>
      </c>
      <c r="BB1278" t="str">
        <f t="shared" si="58"/>
        <v xml:space="preserve">N162AM  </v>
      </c>
      <c r="BC1278">
        <v>1</v>
      </c>
      <c r="BE1278">
        <v>0</v>
      </c>
      <c r="BF1278">
        <v>0</v>
      </c>
      <c r="BG1278">
        <v>0</v>
      </c>
      <c r="BH1278">
        <v>1500</v>
      </c>
      <c r="BI1278">
        <v>1</v>
      </c>
      <c r="BJ1278">
        <v>1</v>
      </c>
      <c r="BK1278">
        <v>1</v>
      </c>
      <c r="BL1278">
        <v>0</v>
      </c>
      <c r="BO1278">
        <v>0</v>
      </c>
      <c r="BP1278">
        <v>0</v>
      </c>
      <c r="BW1278" t="str">
        <f>"14:50:05.208"</f>
        <v>14:50:05.208</v>
      </c>
      <c r="CJ1278">
        <v>2</v>
      </c>
      <c r="CK1278">
        <v>2</v>
      </c>
      <c r="CL1278">
        <v>0</v>
      </c>
      <c r="CM1278">
        <v>2</v>
      </c>
      <c r="CN1278">
        <v>0</v>
      </c>
      <c r="CO1278">
        <v>3</v>
      </c>
      <c r="CP1278" t="s">
        <v>119</v>
      </c>
      <c r="CQ1278">
        <v>232</v>
      </c>
      <c r="CR1278">
        <v>1</v>
      </c>
      <c r="CW1278">
        <v>15509603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1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"12/16/2021 14:50:05.399"</f>
        <v>12/16/2021 14:50:05.399</v>
      </c>
      <c r="C1279" t="str">
        <f t="shared" si="61"/>
        <v>FFDFD3C0</v>
      </c>
      <c r="D1279" t="s">
        <v>124</v>
      </c>
      <c r="E1279">
        <v>10</v>
      </c>
      <c r="F1279">
        <v>1010</v>
      </c>
      <c r="G1279" t="s">
        <v>130</v>
      </c>
      <c r="J1279" t="s">
        <v>125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"14:50:05.203"</f>
        <v>14:50:05.203</v>
      </c>
      <c r="T1279" t="str">
        <f>"14:50:03.103"</f>
        <v>14:50:03.103</v>
      </c>
      <c r="U1279" t="str">
        <f t="shared" si="57"/>
        <v>A0F928</v>
      </c>
      <c r="V1279">
        <v>0</v>
      </c>
      <c r="W1279">
        <v>0</v>
      </c>
      <c r="X1279">
        <v>2</v>
      </c>
      <c r="Z1279">
        <v>0</v>
      </c>
      <c r="AA1279">
        <v>9</v>
      </c>
      <c r="AB1279">
        <v>3</v>
      </c>
      <c r="AC1279">
        <v>0</v>
      </c>
      <c r="AD1279">
        <v>10</v>
      </c>
      <c r="AE1279">
        <v>0</v>
      </c>
      <c r="AF1279">
        <v>0</v>
      </c>
      <c r="AG1279">
        <v>2</v>
      </c>
      <c r="AH1279">
        <v>1</v>
      </c>
      <c r="AI1279" t="s">
        <v>720</v>
      </c>
      <c r="AJ1279">
        <v>35.790796</v>
      </c>
      <c r="AK1279" t="s">
        <v>721</v>
      </c>
      <c r="AL1279">
        <v>-84.015540999999999</v>
      </c>
      <c r="AM1279">
        <v>25</v>
      </c>
      <c r="AN1279">
        <v>1250</v>
      </c>
      <c r="AO1279" t="s">
        <v>118</v>
      </c>
      <c r="AP1279">
        <v>-96</v>
      </c>
      <c r="AQ1279">
        <v>-95</v>
      </c>
      <c r="AR1279">
        <v>960</v>
      </c>
      <c r="AZ1279">
        <v>300</v>
      </c>
      <c r="BA1279">
        <v>1</v>
      </c>
      <c r="BB1279" t="str">
        <f t="shared" si="58"/>
        <v xml:space="preserve">N162AM  </v>
      </c>
      <c r="BC1279">
        <v>1</v>
      </c>
      <c r="BE1279">
        <v>0</v>
      </c>
      <c r="BF1279">
        <v>0</v>
      </c>
      <c r="BG1279">
        <v>0</v>
      </c>
      <c r="BH1279">
        <v>1500</v>
      </c>
      <c r="BI1279">
        <v>1</v>
      </c>
      <c r="BJ1279">
        <v>1</v>
      </c>
      <c r="BK1279">
        <v>1</v>
      </c>
      <c r="BL1279">
        <v>0</v>
      </c>
      <c r="BO1279">
        <v>0</v>
      </c>
      <c r="BP1279">
        <v>0</v>
      </c>
      <c r="BW1279" t="str">
        <f>"14:50:05.208"</f>
        <v>14:50:05.208</v>
      </c>
      <c r="CJ1279">
        <v>2</v>
      </c>
      <c r="CK1279">
        <v>2</v>
      </c>
      <c r="CL1279">
        <v>0</v>
      </c>
      <c r="CM1279">
        <v>2</v>
      </c>
      <c r="CN1279">
        <v>0</v>
      </c>
      <c r="CO1279">
        <v>3</v>
      </c>
      <c r="CP1279" t="s">
        <v>119</v>
      </c>
      <c r="CQ1279">
        <v>232</v>
      </c>
      <c r="CR1279">
        <v>1</v>
      </c>
      <c r="CW1279">
        <v>15509603</v>
      </c>
      <c r="CY1279">
        <v>0</v>
      </c>
      <c r="CZ1279">
        <v>0</v>
      </c>
      <c r="DA1279">
        <v>1</v>
      </c>
      <c r="DB1279">
        <v>0</v>
      </c>
      <c r="DC1279">
        <v>0</v>
      </c>
      <c r="DD1279">
        <v>1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"12/16/2021 14:50:05.414"</f>
        <v>12/16/2021 14:50:05.414</v>
      </c>
      <c r="C1280" t="str">
        <f t="shared" si="61"/>
        <v>FFDFD3C0</v>
      </c>
      <c r="D1280" t="s">
        <v>124</v>
      </c>
      <c r="E1280">
        <v>5</v>
      </c>
      <c r="F1280">
        <v>1005</v>
      </c>
      <c r="G1280" t="s">
        <v>114</v>
      </c>
      <c r="J1280" t="s">
        <v>125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"14:50:05.203"</f>
        <v>14:50:05.203</v>
      </c>
      <c r="T1280" t="str">
        <f>"14:50:03.103"</f>
        <v>14:50:03.103</v>
      </c>
      <c r="U1280" t="str">
        <f t="shared" si="57"/>
        <v>A0F928</v>
      </c>
      <c r="V1280">
        <v>0</v>
      </c>
      <c r="W1280">
        <v>0</v>
      </c>
      <c r="X1280">
        <v>2</v>
      </c>
      <c r="Z1280">
        <v>0</v>
      </c>
      <c r="AA1280">
        <v>9</v>
      </c>
      <c r="AB1280">
        <v>3</v>
      </c>
      <c r="AC1280">
        <v>0</v>
      </c>
      <c r="AD1280">
        <v>10</v>
      </c>
      <c r="AE1280">
        <v>0</v>
      </c>
      <c r="AF1280">
        <v>0</v>
      </c>
      <c r="AG1280">
        <v>2</v>
      </c>
      <c r="AH1280">
        <v>1</v>
      </c>
      <c r="AI1280" t="s">
        <v>720</v>
      </c>
      <c r="AJ1280">
        <v>35.790796</v>
      </c>
      <c r="AK1280" t="s">
        <v>721</v>
      </c>
      <c r="AL1280">
        <v>-84.015540999999999</v>
      </c>
      <c r="AM1280">
        <v>25</v>
      </c>
      <c r="AN1280">
        <v>1250</v>
      </c>
      <c r="AO1280" t="s">
        <v>118</v>
      </c>
      <c r="AP1280">
        <v>-96</v>
      </c>
      <c r="AQ1280">
        <v>-95</v>
      </c>
      <c r="AR1280">
        <v>960</v>
      </c>
      <c r="AZ1280">
        <v>300</v>
      </c>
      <c r="BA1280">
        <v>1</v>
      </c>
      <c r="BB1280" t="str">
        <f t="shared" si="58"/>
        <v xml:space="preserve">N162AM  </v>
      </c>
      <c r="BC1280">
        <v>1</v>
      </c>
      <c r="BE1280">
        <v>0</v>
      </c>
      <c r="BF1280">
        <v>0</v>
      </c>
      <c r="BG1280">
        <v>0</v>
      </c>
      <c r="BH1280">
        <v>1500</v>
      </c>
      <c r="BI1280">
        <v>1</v>
      </c>
      <c r="BJ1280">
        <v>1</v>
      </c>
      <c r="BK1280">
        <v>1</v>
      </c>
      <c r="BL1280">
        <v>0</v>
      </c>
      <c r="BO1280">
        <v>0</v>
      </c>
      <c r="BP1280">
        <v>0</v>
      </c>
      <c r="BW1280" t="str">
        <f>"14:50:05.208"</f>
        <v>14:50:05.208</v>
      </c>
      <c r="CJ1280">
        <v>2</v>
      </c>
      <c r="CK1280">
        <v>2</v>
      </c>
      <c r="CL1280">
        <v>0</v>
      </c>
      <c r="CM1280">
        <v>2</v>
      </c>
      <c r="CN1280">
        <v>0</v>
      </c>
      <c r="CO1280">
        <v>3</v>
      </c>
      <c r="CP1280" t="s">
        <v>119</v>
      </c>
      <c r="CQ1280">
        <v>232</v>
      </c>
      <c r="CR1280">
        <v>1</v>
      </c>
      <c r="CW1280">
        <v>15509603</v>
      </c>
      <c r="CY1280">
        <v>0</v>
      </c>
      <c r="CZ1280">
        <v>0</v>
      </c>
      <c r="DA1280">
        <v>1</v>
      </c>
      <c r="DB1280">
        <v>0</v>
      </c>
      <c r="DC1280">
        <v>0</v>
      </c>
      <c r="DD1280">
        <v>1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"12/16/2021 14:50:05.414"</f>
        <v>12/16/2021 14:50:05.414</v>
      </c>
      <c r="C1281" t="str">
        <f t="shared" si="61"/>
        <v>FFDFD3C0</v>
      </c>
      <c r="D1281" t="s">
        <v>113</v>
      </c>
      <c r="E1281">
        <v>8</v>
      </c>
      <c r="H1281">
        <v>176</v>
      </c>
      <c r="I1281" t="s">
        <v>114</v>
      </c>
      <c r="J1281" t="s">
        <v>115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"14:50:05.203"</f>
        <v>14:50:05.203</v>
      </c>
      <c r="T1281" t="str">
        <f>"14:50:03.103"</f>
        <v>14:50:03.103</v>
      </c>
      <c r="U1281" t="str">
        <f t="shared" si="57"/>
        <v>A0F928</v>
      </c>
      <c r="V1281">
        <v>0</v>
      </c>
      <c r="W1281">
        <v>0</v>
      </c>
      <c r="X1281">
        <v>2</v>
      </c>
      <c r="Z1281">
        <v>0</v>
      </c>
      <c r="AA1281">
        <v>9</v>
      </c>
      <c r="AB1281">
        <v>3</v>
      </c>
      <c r="AC1281">
        <v>0</v>
      </c>
      <c r="AD1281">
        <v>10</v>
      </c>
      <c r="AE1281">
        <v>0</v>
      </c>
      <c r="AF1281">
        <v>0</v>
      </c>
      <c r="AG1281">
        <v>2</v>
      </c>
      <c r="AH1281">
        <v>1</v>
      </c>
      <c r="AI1281" t="s">
        <v>720</v>
      </c>
      <c r="AJ1281">
        <v>35.790796</v>
      </c>
      <c r="AK1281" t="s">
        <v>721</v>
      </c>
      <c r="AL1281">
        <v>-84.015540999999999</v>
      </c>
      <c r="AM1281">
        <v>25</v>
      </c>
      <c r="AN1281">
        <v>1250</v>
      </c>
      <c r="AO1281" t="s">
        <v>118</v>
      </c>
      <c r="AP1281">
        <v>-96</v>
      </c>
      <c r="AQ1281">
        <v>-95</v>
      </c>
      <c r="AR1281">
        <v>960</v>
      </c>
      <c r="AZ1281">
        <v>300</v>
      </c>
      <c r="BA1281">
        <v>1</v>
      </c>
      <c r="BB1281" t="str">
        <f t="shared" si="58"/>
        <v xml:space="preserve">N162AM  </v>
      </c>
      <c r="BC1281">
        <v>1</v>
      </c>
      <c r="BE1281">
        <v>0</v>
      </c>
      <c r="BF1281">
        <v>0</v>
      </c>
      <c r="BG1281">
        <v>0</v>
      </c>
      <c r="BH1281">
        <v>1500</v>
      </c>
      <c r="BI1281">
        <v>1</v>
      </c>
      <c r="BJ1281">
        <v>1</v>
      </c>
      <c r="BK1281">
        <v>1</v>
      </c>
      <c r="BL1281">
        <v>0</v>
      </c>
      <c r="BO1281">
        <v>0</v>
      </c>
      <c r="BP1281">
        <v>0</v>
      </c>
      <c r="BW1281" t="str">
        <f>"14:50:05.208"</f>
        <v>14:50:05.208</v>
      </c>
      <c r="CJ1281">
        <v>2</v>
      </c>
      <c r="CK1281">
        <v>2</v>
      </c>
      <c r="CL1281">
        <v>0</v>
      </c>
      <c r="CM1281">
        <v>2</v>
      </c>
      <c r="CN1281">
        <v>0</v>
      </c>
      <c r="CO1281">
        <v>3</v>
      </c>
      <c r="CP1281" t="s">
        <v>119</v>
      </c>
      <c r="CQ1281">
        <v>232</v>
      </c>
      <c r="CR1281">
        <v>1</v>
      </c>
      <c r="CW1281">
        <v>15509603</v>
      </c>
      <c r="CY1281">
        <v>0</v>
      </c>
      <c r="CZ1281">
        <v>0</v>
      </c>
      <c r="DA1281">
        <v>1</v>
      </c>
      <c r="DB1281">
        <v>0</v>
      </c>
      <c r="DC1281">
        <v>0</v>
      </c>
      <c r="DD1281">
        <v>1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"12/16/2021 14:50:06.446"</f>
        <v>12/16/2021 14:50:06.446</v>
      </c>
      <c r="C1282" t="str">
        <f t="shared" si="61"/>
        <v>FFDFD3C0</v>
      </c>
      <c r="D1282" t="s">
        <v>133</v>
      </c>
      <c r="E1282">
        <v>44</v>
      </c>
      <c r="H1282">
        <v>131</v>
      </c>
      <c r="I1282" t="s">
        <v>134</v>
      </c>
      <c r="J1282" t="s">
        <v>135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"14:50:06.227"</f>
        <v>14:50:06.227</v>
      </c>
      <c r="T1282" t="str">
        <f>"14:50:05.727"</f>
        <v>14:50:05.727</v>
      </c>
      <c r="U1282" t="str">
        <f t="shared" ref="U1282:U1345" si="62">"A0F928"</f>
        <v>A0F928</v>
      </c>
      <c r="V1282">
        <v>0</v>
      </c>
      <c r="W1282">
        <v>0</v>
      </c>
      <c r="X1282">
        <v>2</v>
      </c>
      <c r="Z1282">
        <v>0</v>
      </c>
      <c r="AA1282">
        <v>9</v>
      </c>
      <c r="AB1282">
        <v>3</v>
      </c>
      <c r="AC1282">
        <v>0</v>
      </c>
      <c r="AD1282">
        <v>10</v>
      </c>
      <c r="AE1282">
        <v>0</v>
      </c>
      <c r="AF1282">
        <v>0</v>
      </c>
      <c r="AG1282">
        <v>2</v>
      </c>
      <c r="AH1282">
        <v>1</v>
      </c>
      <c r="AI1282" t="s">
        <v>722</v>
      </c>
      <c r="AJ1282">
        <v>35.790346</v>
      </c>
      <c r="AK1282" t="s">
        <v>723</v>
      </c>
      <c r="AL1282">
        <v>-84.016120000000001</v>
      </c>
      <c r="AM1282">
        <v>25</v>
      </c>
      <c r="AN1282">
        <v>1275</v>
      </c>
      <c r="AO1282" t="s">
        <v>118</v>
      </c>
      <c r="AP1282">
        <v>-96</v>
      </c>
      <c r="AQ1282">
        <v>-95</v>
      </c>
      <c r="AR1282">
        <v>768</v>
      </c>
      <c r="AZ1282">
        <v>300</v>
      </c>
      <c r="BA1282">
        <v>1</v>
      </c>
      <c r="BB1282" t="str">
        <f t="shared" si="58"/>
        <v xml:space="preserve">N162AM  </v>
      </c>
      <c r="BC1282">
        <v>1</v>
      </c>
      <c r="BE1282">
        <v>0</v>
      </c>
      <c r="BF1282">
        <v>0</v>
      </c>
      <c r="BG1282">
        <v>0</v>
      </c>
      <c r="BH1282">
        <v>1550</v>
      </c>
      <c r="BI1282">
        <v>1</v>
      </c>
      <c r="BJ1282">
        <v>1</v>
      </c>
      <c r="BK1282">
        <v>1</v>
      </c>
      <c r="BL1282">
        <v>0</v>
      </c>
      <c r="BO1282">
        <v>0</v>
      </c>
      <c r="BP1282">
        <v>0</v>
      </c>
      <c r="BW1282" t="str">
        <f>"14:50:06.231"</f>
        <v>14:50:06.231</v>
      </c>
      <c r="CJ1282">
        <v>2</v>
      </c>
      <c r="CK1282">
        <v>2</v>
      </c>
      <c r="CL1282">
        <v>0</v>
      </c>
      <c r="CM1282">
        <v>2</v>
      </c>
      <c r="CN1282">
        <v>0</v>
      </c>
      <c r="CO1282">
        <v>3</v>
      </c>
      <c r="CP1282" t="s">
        <v>119</v>
      </c>
      <c r="CQ1282">
        <v>232</v>
      </c>
      <c r="CR1282">
        <v>1</v>
      </c>
      <c r="CW1282">
        <v>15511205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1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"12/16/2021 14:50:06.446"</f>
        <v>12/16/2021 14:50:06.446</v>
      </c>
      <c r="C1283" t="str">
        <f t="shared" si="61"/>
        <v>FFDFD3C0</v>
      </c>
      <c r="D1283" t="s">
        <v>124</v>
      </c>
      <c r="E1283">
        <v>10</v>
      </c>
      <c r="F1283">
        <v>1010</v>
      </c>
      <c r="G1283" t="s">
        <v>130</v>
      </c>
      <c r="J1283" t="s">
        <v>125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"14:50:06.227"</f>
        <v>14:50:06.227</v>
      </c>
      <c r="T1283" t="str">
        <f>"14:50:05.727"</f>
        <v>14:50:05.727</v>
      </c>
      <c r="U1283" t="str">
        <f t="shared" si="62"/>
        <v>A0F928</v>
      </c>
      <c r="V1283">
        <v>0</v>
      </c>
      <c r="W1283">
        <v>0</v>
      </c>
      <c r="X1283">
        <v>2</v>
      </c>
      <c r="Z1283">
        <v>0</v>
      </c>
      <c r="AA1283">
        <v>9</v>
      </c>
      <c r="AB1283">
        <v>3</v>
      </c>
      <c r="AC1283">
        <v>0</v>
      </c>
      <c r="AD1283">
        <v>10</v>
      </c>
      <c r="AE1283">
        <v>0</v>
      </c>
      <c r="AF1283">
        <v>0</v>
      </c>
      <c r="AG1283">
        <v>2</v>
      </c>
      <c r="AH1283">
        <v>1</v>
      </c>
      <c r="AI1283" t="s">
        <v>722</v>
      </c>
      <c r="AJ1283">
        <v>35.790346</v>
      </c>
      <c r="AK1283" t="s">
        <v>723</v>
      </c>
      <c r="AL1283">
        <v>-84.016120000000001</v>
      </c>
      <c r="AM1283">
        <v>25</v>
      </c>
      <c r="AN1283">
        <v>1275</v>
      </c>
      <c r="AO1283" t="s">
        <v>118</v>
      </c>
      <c r="AP1283">
        <v>-96</v>
      </c>
      <c r="AQ1283">
        <v>-95</v>
      </c>
      <c r="AR1283">
        <v>768</v>
      </c>
      <c r="AZ1283">
        <v>300</v>
      </c>
      <c r="BA1283">
        <v>1</v>
      </c>
      <c r="BB1283" t="str">
        <f t="shared" si="58"/>
        <v xml:space="preserve">N162AM  </v>
      </c>
      <c r="BC1283">
        <v>1</v>
      </c>
      <c r="BE1283">
        <v>0</v>
      </c>
      <c r="BF1283">
        <v>0</v>
      </c>
      <c r="BG1283">
        <v>0</v>
      </c>
      <c r="BH1283">
        <v>1550</v>
      </c>
      <c r="BI1283">
        <v>1</v>
      </c>
      <c r="BJ1283">
        <v>1</v>
      </c>
      <c r="BK1283">
        <v>1</v>
      </c>
      <c r="BL1283">
        <v>0</v>
      </c>
      <c r="BO1283">
        <v>0</v>
      </c>
      <c r="BP1283">
        <v>0</v>
      </c>
      <c r="BW1283" t="str">
        <f>"14:50:06.231"</f>
        <v>14:50:06.231</v>
      </c>
      <c r="CJ1283">
        <v>2</v>
      </c>
      <c r="CK1283">
        <v>2</v>
      </c>
      <c r="CL1283">
        <v>0</v>
      </c>
      <c r="CM1283">
        <v>2</v>
      </c>
      <c r="CN1283">
        <v>0</v>
      </c>
      <c r="CO1283">
        <v>3</v>
      </c>
      <c r="CP1283" t="s">
        <v>119</v>
      </c>
      <c r="CQ1283">
        <v>232</v>
      </c>
      <c r="CR1283">
        <v>1</v>
      </c>
      <c r="CW1283">
        <v>15511205</v>
      </c>
      <c r="CY1283">
        <v>0</v>
      </c>
      <c r="CZ1283">
        <v>0</v>
      </c>
      <c r="DA1283">
        <v>1</v>
      </c>
      <c r="DB1283">
        <v>0</v>
      </c>
      <c r="DC1283">
        <v>0</v>
      </c>
      <c r="DD1283">
        <v>1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"12/16/2021 14:50:06.508"</f>
        <v>12/16/2021 14:50:06.508</v>
      </c>
      <c r="C1284" t="str">
        <f t="shared" si="61"/>
        <v>FFDFD3C0</v>
      </c>
      <c r="D1284" t="s">
        <v>124</v>
      </c>
      <c r="E1284">
        <v>5</v>
      </c>
      <c r="F1284">
        <v>1005</v>
      </c>
      <c r="G1284" t="s">
        <v>114</v>
      </c>
      <c r="J1284" t="s">
        <v>125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"14:50:06.227"</f>
        <v>14:50:06.227</v>
      </c>
      <c r="T1284" t="str">
        <f>"14:50:05.727"</f>
        <v>14:50:05.727</v>
      </c>
      <c r="U1284" t="str">
        <f t="shared" si="62"/>
        <v>A0F928</v>
      </c>
      <c r="V1284">
        <v>0</v>
      </c>
      <c r="W1284">
        <v>0</v>
      </c>
      <c r="X1284">
        <v>2</v>
      </c>
      <c r="Z1284">
        <v>0</v>
      </c>
      <c r="AA1284">
        <v>9</v>
      </c>
      <c r="AB1284">
        <v>3</v>
      </c>
      <c r="AC1284">
        <v>0</v>
      </c>
      <c r="AD1284">
        <v>10</v>
      </c>
      <c r="AE1284">
        <v>0</v>
      </c>
      <c r="AF1284">
        <v>0</v>
      </c>
      <c r="AG1284">
        <v>2</v>
      </c>
      <c r="AH1284">
        <v>1</v>
      </c>
      <c r="AI1284" t="s">
        <v>722</v>
      </c>
      <c r="AJ1284">
        <v>35.790346</v>
      </c>
      <c r="AK1284" t="s">
        <v>723</v>
      </c>
      <c r="AL1284">
        <v>-84.016120000000001</v>
      </c>
      <c r="AM1284">
        <v>25</v>
      </c>
      <c r="AN1284">
        <v>1275</v>
      </c>
      <c r="AO1284" t="s">
        <v>118</v>
      </c>
      <c r="AP1284">
        <v>-96</v>
      </c>
      <c r="AQ1284">
        <v>-95</v>
      </c>
      <c r="AR1284">
        <v>768</v>
      </c>
      <c r="AZ1284">
        <v>300</v>
      </c>
      <c r="BA1284">
        <v>1</v>
      </c>
      <c r="BB1284" t="str">
        <f t="shared" si="58"/>
        <v xml:space="preserve">N162AM  </v>
      </c>
      <c r="BC1284">
        <v>1</v>
      </c>
      <c r="BE1284">
        <v>0</v>
      </c>
      <c r="BF1284">
        <v>0</v>
      </c>
      <c r="BG1284">
        <v>0</v>
      </c>
      <c r="BH1284">
        <v>1550</v>
      </c>
      <c r="BI1284">
        <v>1</v>
      </c>
      <c r="BJ1284">
        <v>1</v>
      </c>
      <c r="BK1284">
        <v>1</v>
      </c>
      <c r="BL1284">
        <v>0</v>
      </c>
      <c r="BO1284">
        <v>0</v>
      </c>
      <c r="BP1284">
        <v>0</v>
      </c>
      <c r="BW1284" t="str">
        <f>"14:50:06.231"</f>
        <v>14:50:06.231</v>
      </c>
      <c r="CJ1284">
        <v>2</v>
      </c>
      <c r="CK1284">
        <v>2</v>
      </c>
      <c r="CL1284">
        <v>0</v>
      </c>
      <c r="CM1284">
        <v>2</v>
      </c>
      <c r="CN1284">
        <v>0</v>
      </c>
      <c r="CO1284">
        <v>3</v>
      </c>
      <c r="CP1284" t="s">
        <v>119</v>
      </c>
      <c r="CQ1284">
        <v>232</v>
      </c>
      <c r="CR1284">
        <v>1</v>
      </c>
      <c r="CW1284">
        <v>15511205</v>
      </c>
      <c r="CY1284">
        <v>0</v>
      </c>
      <c r="CZ1284">
        <v>0</v>
      </c>
      <c r="DA1284">
        <v>1</v>
      </c>
      <c r="DB1284">
        <v>0</v>
      </c>
      <c r="DC1284">
        <v>0</v>
      </c>
      <c r="DD1284">
        <v>1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"12/16/2021 14:50:06.508"</f>
        <v>12/16/2021 14:50:06.508</v>
      </c>
      <c r="C1285" t="str">
        <f t="shared" si="61"/>
        <v>FFDFD3C0</v>
      </c>
      <c r="D1285" t="s">
        <v>113</v>
      </c>
      <c r="E1285">
        <v>8</v>
      </c>
      <c r="H1285">
        <v>176</v>
      </c>
      <c r="I1285" t="s">
        <v>114</v>
      </c>
      <c r="J1285" t="s">
        <v>115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"14:50:06.227"</f>
        <v>14:50:06.227</v>
      </c>
      <c r="T1285" t="str">
        <f>"14:50:05.727"</f>
        <v>14:50:05.727</v>
      </c>
      <c r="U1285" t="str">
        <f t="shared" si="62"/>
        <v>A0F928</v>
      </c>
      <c r="V1285">
        <v>0</v>
      </c>
      <c r="W1285">
        <v>0</v>
      </c>
      <c r="X1285">
        <v>2</v>
      </c>
      <c r="Z1285">
        <v>0</v>
      </c>
      <c r="AA1285">
        <v>9</v>
      </c>
      <c r="AB1285">
        <v>3</v>
      </c>
      <c r="AC1285">
        <v>0</v>
      </c>
      <c r="AD1285">
        <v>10</v>
      </c>
      <c r="AE1285">
        <v>0</v>
      </c>
      <c r="AF1285">
        <v>0</v>
      </c>
      <c r="AG1285">
        <v>2</v>
      </c>
      <c r="AH1285">
        <v>1</v>
      </c>
      <c r="AI1285" t="s">
        <v>722</v>
      </c>
      <c r="AJ1285">
        <v>35.790346</v>
      </c>
      <c r="AK1285" t="s">
        <v>723</v>
      </c>
      <c r="AL1285">
        <v>-84.016120000000001</v>
      </c>
      <c r="AM1285">
        <v>25</v>
      </c>
      <c r="AN1285">
        <v>1275</v>
      </c>
      <c r="AO1285" t="s">
        <v>118</v>
      </c>
      <c r="AP1285">
        <v>-96</v>
      </c>
      <c r="AQ1285">
        <v>-95</v>
      </c>
      <c r="AR1285">
        <v>768</v>
      </c>
      <c r="AZ1285">
        <v>300</v>
      </c>
      <c r="BA1285">
        <v>1</v>
      </c>
      <c r="BB1285" t="str">
        <f t="shared" si="58"/>
        <v xml:space="preserve">N162AM  </v>
      </c>
      <c r="BC1285">
        <v>1</v>
      </c>
      <c r="BE1285">
        <v>0</v>
      </c>
      <c r="BF1285">
        <v>0</v>
      </c>
      <c r="BG1285">
        <v>0</v>
      </c>
      <c r="BH1285">
        <v>1550</v>
      </c>
      <c r="BI1285">
        <v>1</v>
      </c>
      <c r="BJ1285">
        <v>1</v>
      </c>
      <c r="BK1285">
        <v>1</v>
      </c>
      <c r="BL1285">
        <v>0</v>
      </c>
      <c r="BO1285">
        <v>0</v>
      </c>
      <c r="BP1285">
        <v>0</v>
      </c>
      <c r="BW1285" t="str">
        <f>"14:50:06.231"</f>
        <v>14:50:06.231</v>
      </c>
      <c r="CJ1285">
        <v>2</v>
      </c>
      <c r="CK1285">
        <v>2</v>
      </c>
      <c r="CL1285">
        <v>0</v>
      </c>
      <c r="CM1285">
        <v>2</v>
      </c>
      <c r="CN1285">
        <v>0</v>
      </c>
      <c r="CO1285">
        <v>3</v>
      </c>
      <c r="CP1285" t="s">
        <v>119</v>
      </c>
      <c r="CQ1285">
        <v>232</v>
      </c>
      <c r="CR1285">
        <v>1</v>
      </c>
      <c r="CW1285">
        <v>15511205</v>
      </c>
      <c r="CY1285">
        <v>0</v>
      </c>
      <c r="CZ1285">
        <v>0</v>
      </c>
      <c r="DA1285">
        <v>1</v>
      </c>
      <c r="DB1285">
        <v>0</v>
      </c>
      <c r="DC1285">
        <v>0</v>
      </c>
      <c r="DD1285">
        <v>1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"12/16/2021 14:50:07.352"</f>
        <v>12/16/2021 14:50:07.352</v>
      </c>
      <c r="C1286" t="str">
        <f t="shared" si="61"/>
        <v>FFDFD3C0</v>
      </c>
      <c r="D1286" t="s">
        <v>124</v>
      </c>
      <c r="E1286">
        <v>10</v>
      </c>
      <c r="F1286">
        <v>1010</v>
      </c>
      <c r="G1286" t="s">
        <v>130</v>
      </c>
      <c r="J1286" t="s">
        <v>125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"14:50:07.156"</f>
        <v>14:50:07.156</v>
      </c>
      <c r="T1286" t="str">
        <f>"14:50:06.756"</f>
        <v>14:50:06.756</v>
      </c>
      <c r="U1286" t="str">
        <f t="shared" si="62"/>
        <v>A0F928</v>
      </c>
      <c r="V1286">
        <v>0</v>
      </c>
      <c r="W1286">
        <v>0</v>
      </c>
      <c r="X1286">
        <v>2</v>
      </c>
      <c r="Z1286">
        <v>0</v>
      </c>
      <c r="AA1286">
        <v>9</v>
      </c>
      <c r="AB1286">
        <v>3</v>
      </c>
      <c r="AC1286">
        <v>0</v>
      </c>
      <c r="AD1286">
        <v>10</v>
      </c>
      <c r="AE1286">
        <v>0</v>
      </c>
      <c r="AF1286">
        <v>0</v>
      </c>
      <c r="AG1286">
        <v>2</v>
      </c>
      <c r="AH1286">
        <v>1</v>
      </c>
      <c r="AI1286" t="s">
        <v>724</v>
      </c>
      <c r="AJ1286">
        <v>35.789895000000001</v>
      </c>
      <c r="AK1286" t="s">
        <v>725</v>
      </c>
      <c r="AL1286">
        <v>-84.016634999999994</v>
      </c>
      <c r="AM1286">
        <v>25</v>
      </c>
      <c r="AN1286">
        <v>1275</v>
      </c>
      <c r="AO1286" t="s">
        <v>118</v>
      </c>
      <c r="AP1286">
        <v>-97</v>
      </c>
      <c r="AQ1286">
        <v>-96</v>
      </c>
      <c r="AR1286">
        <v>832</v>
      </c>
      <c r="AZ1286">
        <v>300</v>
      </c>
      <c r="BA1286">
        <v>1</v>
      </c>
      <c r="BB1286" t="str">
        <f t="shared" si="58"/>
        <v xml:space="preserve">N162AM  </v>
      </c>
      <c r="BC1286">
        <v>1</v>
      </c>
      <c r="BE1286">
        <v>0</v>
      </c>
      <c r="BF1286">
        <v>0</v>
      </c>
      <c r="BG1286">
        <v>0</v>
      </c>
      <c r="BH1286">
        <v>1550</v>
      </c>
      <c r="BI1286">
        <v>1</v>
      </c>
      <c r="BJ1286">
        <v>1</v>
      </c>
      <c r="BK1286">
        <v>1</v>
      </c>
      <c r="BL1286">
        <v>0</v>
      </c>
      <c r="BO1286">
        <v>0</v>
      </c>
      <c r="BP1286">
        <v>0</v>
      </c>
      <c r="BW1286" t="str">
        <f>"14:50:07.158"</f>
        <v>14:50:07.158</v>
      </c>
      <c r="CJ1286">
        <v>2</v>
      </c>
      <c r="CK1286">
        <v>2</v>
      </c>
      <c r="CL1286">
        <v>0</v>
      </c>
      <c r="CM1286">
        <v>2</v>
      </c>
      <c r="CN1286">
        <v>0</v>
      </c>
      <c r="CO1286">
        <v>3</v>
      </c>
      <c r="CP1286" t="s">
        <v>119</v>
      </c>
      <c r="CQ1286">
        <v>232</v>
      </c>
      <c r="CR1286">
        <v>1</v>
      </c>
      <c r="CW1286">
        <v>15512517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1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"12/16/2021 14:50:07.368"</f>
        <v>12/16/2021 14:50:07.368</v>
      </c>
      <c r="C1287" t="str">
        <f t="shared" si="61"/>
        <v>FFDFD3C0</v>
      </c>
      <c r="D1287" t="s">
        <v>133</v>
      </c>
      <c r="E1287">
        <v>44</v>
      </c>
      <c r="H1287">
        <v>131</v>
      </c>
      <c r="I1287" t="s">
        <v>134</v>
      </c>
      <c r="J1287" t="s">
        <v>135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"14:50:07.156"</f>
        <v>14:50:07.156</v>
      </c>
      <c r="T1287" t="str">
        <f>"14:50:06.756"</f>
        <v>14:50:06.756</v>
      </c>
      <c r="U1287" t="str">
        <f t="shared" si="62"/>
        <v>A0F928</v>
      </c>
      <c r="V1287">
        <v>0</v>
      </c>
      <c r="W1287">
        <v>0</v>
      </c>
      <c r="X1287">
        <v>2</v>
      </c>
      <c r="Z1287">
        <v>0</v>
      </c>
      <c r="AA1287">
        <v>9</v>
      </c>
      <c r="AB1287">
        <v>3</v>
      </c>
      <c r="AC1287">
        <v>0</v>
      </c>
      <c r="AD1287">
        <v>10</v>
      </c>
      <c r="AE1287">
        <v>0</v>
      </c>
      <c r="AF1287">
        <v>0</v>
      </c>
      <c r="AG1287">
        <v>2</v>
      </c>
      <c r="AH1287">
        <v>1</v>
      </c>
      <c r="AI1287" t="s">
        <v>724</v>
      </c>
      <c r="AJ1287">
        <v>35.789895000000001</v>
      </c>
      <c r="AK1287" t="s">
        <v>725</v>
      </c>
      <c r="AL1287">
        <v>-84.016634999999994</v>
      </c>
      <c r="AM1287">
        <v>25</v>
      </c>
      <c r="AN1287">
        <v>1275</v>
      </c>
      <c r="AO1287" t="s">
        <v>118</v>
      </c>
      <c r="AP1287">
        <v>-97</v>
      </c>
      <c r="AQ1287">
        <v>-96</v>
      </c>
      <c r="AR1287">
        <v>832</v>
      </c>
      <c r="AZ1287">
        <v>300</v>
      </c>
      <c r="BA1287">
        <v>1</v>
      </c>
      <c r="BB1287" t="str">
        <f t="shared" si="58"/>
        <v xml:space="preserve">N162AM  </v>
      </c>
      <c r="BC1287">
        <v>1</v>
      </c>
      <c r="BE1287">
        <v>0</v>
      </c>
      <c r="BF1287">
        <v>0</v>
      </c>
      <c r="BG1287">
        <v>0</v>
      </c>
      <c r="BH1287">
        <v>1550</v>
      </c>
      <c r="BI1287">
        <v>1</v>
      </c>
      <c r="BJ1287">
        <v>1</v>
      </c>
      <c r="BK1287">
        <v>1</v>
      </c>
      <c r="BL1287">
        <v>0</v>
      </c>
      <c r="BO1287">
        <v>0</v>
      </c>
      <c r="BP1287">
        <v>0</v>
      </c>
      <c r="BW1287" t="str">
        <f>"14:50:07.158"</f>
        <v>14:50:07.158</v>
      </c>
      <c r="CJ1287">
        <v>2</v>
      </c>
      <c r="CK1287">
        <v>2</v>
      </c>
      <c r="CL1287">
        <v>0</v>
      </c>
      <c r="CM1287">
        <v>2</v>
      </c>
      <c r="CN1287">
        <v>0</v>
      </c>
      <c r="CO1287">
        <v>3</v>
      </c>
      <c r="CP1287" t="s">
        <v>119</v>
      </c>
      <c r="CQ1287">
        <v>232</v>
      </c>
      <c r="CR1287">
        <v>1</v>
      </c>
      <c r="CW1287">
        <v>15512517</v>
      </c>
      <c r="CY1287">
        <v>0</v>
      </c>
      <c r="CZ1287">
        <v>0</v>
      </c>
      <c r="DA1287">
        <v>1</v>
      </c>
      <c r="DB1287">
        <v>0</v>
      </c>
      <c r="DC1287">
        <v>0</v>
      </c>
      <c r="DD1287">
        <v>1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"12/16/2021 14:50:07.368"</f>
        <v>12/16/2021 14:50:07.368</v>
      </c>
      <c r="C1288" t="str">
        <f t="shared" si="61"/>
        <v>FFDFD3C0</v>
      </c>
      <c r="D1288" t="s">
        <v>124</v>
      </c>
      <c r="E1288">
        <v>5</v>
      </c>
      <c r="F1288">
        <v>1005</v>
      </c>
      <c r="G1288" t="s">
        <v>114</v>
      </c>
      <c r="J1288" t="s">
        <v>125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"14:50:07.156"</f>
        <v>14:50:07.156</v>
      </c>
      <c r="T1288" t="str">
        <f>"14:50:06.756"</f>
        <v>14:50:06.756</v>
      </c>
      <c r="U1288" t="str">
        <f t="shared" si="62"/>
        <v>A0F928</v>
      </c>
      <c r="V1288">
        <v>0</v>
      </c>
      <c r="W1288">
        <v>0</v>
      </c>
      <c r="X1288">
        <v>2</v>
      </c>
      <c r="Z1288">
        <v>0</v>
      </c>
      <c r="AA1288">
        <v>9</v>
      </c>
      <c r="AB1288">
        <v>3</v>
      </c>
      <c r="AC1288">
        <v>0</v>
      </c>
      <c r="AD1288">
        <v>10</v>
      </c>
      <c r="AE1288">
        <v>0</v>
      </c>
      <c r="AF1288">
        <v>0</v>
      </c>
      <c r="AG1288">
        <v>2</v>
      </c>
      <c r="AH1288">
        <v>1</v>
      </c>
      <c r="AI1288" t="s">
        <v>724</v>
      </c>
      <c r="AJ1288">
        <v>35.789895000000001</v>
      </c>
      <c r="AK1288" t="s">
        <v>725</v>
      </c>
      <c r="AL1288">
        <v>-84.016634999999994</v>
      </c>
      <c r="AM1288">
        <v>25</v>
      </c>
      <c r="AN1288">
        <v>1275</v>
      </c>
      <c r="AO1288" t="s">
        <v>118</v>
      </c>
      <c r="AP1288">
        <v>-97</v>
      </c>
      <c r="AQ1288">
        <v>-96</v>
      </c>
      <c r="AR1288">
        <v>832</v>
      </c>
      <c r="AZ1288">
        <v>300</v>
      </c>
      <c r="BA1288">
        <v>1</v>
      </c>
      <c r="BB1288" t="str">
        <f t="shared" si="58"/>
        <v xml:space="preserve">N162AM  </v>
      </c>
      <c r="BC1288">
        <v>1</v>
      </c>
      <c r="BE1288">
        <v>0</v>
      </c>
      <c r="BF1288">
        <v>0</v>
      </c>
      <c r="BG1288">
        <v>0</v>
      </c>
      <c r="BH1288">
        <v>1550</v>
      </c>
      <c r="BI1288">
        <v>1</v>
      </c>
      <c r="BJ1288">
        <v>1</v>
      </c>
      <c r="BK1288">
        <v>1</v>
      </c>
      <c r="BL1288">
        <v>0</v>
      </c>
      <c r="BO1288">
        <v>0</v>
      </c>
      <c r="BP1288">
        <v>0</v>
      </c>
      <c r="BW1288" t="str">
        <f>"14:50:07.158"</f>
        <v>14:50:07.158</v>
      </c>
      <c r="CJ1288">
        <v>2</v>
      </c>
      <c r="CK1288">
        <v>2</v>
      </c>
      <c r="CL1288">
        <v>0</v>
      </c>
      <c r="CM1288">
        <v>2</v>
      </c>
      <c r="CN1288">
        <v>0</v>
      </c>
      <c r="CO1288">
        <v>3</v>
      </c>
      <c r="CP1288" t="s">
        <v>119</v>
      </c>
      <c r="CQ1288">
        <v>232</v>
      </c>
      <c r="CR1288">
        <v>1</v>
      </c>
      <c r="CW1288">
        <v>15512517</v>
      </c>
      <c r="CY1288">
        <v>0</v>
      </c>
      <c r="CZ1288">
        <v>0</v>
      </c>
      <c r="DA1288">
        <v>1</v>
      </c>
      <c r="DB1288">
        <v>0</v>
      </c>
      <c r="DC1288">
        <v>0</v>
      </c>
      <c r="DD1288">
        <v>1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>"12/16/2021 14:50:07.414"</f>
        <v>12/16/2021 14:50:07.414</v>
      </c>
      <c r="C1289" t="str">
        <f t="shared" si="61"/>
        <v>FFDFD3C0</v>
      </c>
      <c r="D1289" t="s">
        <v>113</v>
      </c>
      <c r="E1289">
        <v>8</v>
      </c>
      <c r="H1289">
        <v>176</v>
      </c>
      <c r="I1289" t="s">
        <v>114</v>
      </c>
      <c r="J1289" t="s">
        <v>115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"14:50:07.156"</f>
        <v>14:50:07.156</v>
      </c>
      <c r="T1289" t="str">
        <f>"14:50:06.756"</f>
        <v>14:50:06.756</v>
      </c>
      <c r="U1289" t="str">
        <f t="shared" si="62"/>
        <v>A0F928</v>
      </c>
      <c r="V1289">
        <v>0</v>
      </c>
      <c r="W1289">
        <v>0</v>
      </c>
      <c r="X1289">
        <v>2</v>
      </c>
      <c r="Z1289">
        <v>0</v>
      </c>
      <c r="AA1289">
        <v>9</v>
      </c>
      <c r="AB1289">
        <v>3</v>
      </c>
      <c r="AC1289">
        <v>0</v>
      </c>
      <c r="AD1289">
        <v>10</v>
      </c>
      <c r="AE1289">
        <v>0</v>
      </c>
      <c r="AF1289">
        <v>0</v>
      </c>
      <c r="AG1289">
        <v>2</v>
      </c>
      <c r="AH1289">
        <v>1</v>
      </c>
      <c r="AI1289" t="s">
        <v>724</v>
      </c>
      <c r="AJ1289">
        <v>35.789895000000001</v>
      </c>
      <c r="AK1289" t="s">
        <v>725</v>
      </c>
      <c r="AL1289">
        <v>-84.016634999999994</v>
      </c>
      <c r="AM1289">
        <v>25</v>
      </c>
      <c r="AN1289">
        <v>1275</v>
      </c>
      <c r="AO1289" t="s">
        <v>118</v>
      </c>
      <c r="AP1289">
        <v>-97</v>
      </c>
      <c r="AQ1289">
        <v>-96</v>
      </c>
      <c r="AR1289">
        <v>832</v>
      </c>
      <c r="AZ1289">
        <v>300</v>
      </c>
      <c r="BA1289">
        <v>1</v>
      </c>
      <c r="BB1289" t="str">
        <f t="shared" si="58"/>
        <v xml:space="preserve">N162AM  </v>
      </c>
      <c r="BC1289">
        <v>1</v>
      </c>
      <c r="BE1289">
        <v>0</v>
      </c>
      <c r="BF1289">
        <v>0</v>
      </c>
      <c r="BG1289">
        <v>0</v>
      </c>
      <c r="BH1289">
        <v>1550</v>
      </c>
      <c r="BI1289">
        <v>1</v>
      </c>
      <c r="BJ1289">
        <v>1</v>
      </c>
      <c r="BK1289">
        <v>1</v>
      </c>
      <c r="BL1289">
        <v>0</v>
      </c>
      <c r="BO1289">
        <v>0</v>
      </c>
      <c r="BP1289">
        <v>0</v>
      </c>
      <c r="BW1289" t="str">
        <f>"14:50:07.158"</f>
        <v>14:50:07.158</v>
      </c>
      <c r="CJ1289">
        <v>2</v>
      </c>
      <c r="CK1289">
        <v>2</v>
      </c>
      <c r="CL1289">
        <v>0</v>
      </c>
      <c r="CM1289">
        <v>2</v>
      </c>
      <c r="CN1289">
        <v>0</v>
      </c>
      <c r="CO1289">
        <v>3</v>
      </c>
      <c r="CP1289" t="s">
        <v>119</v>
      </c>
      <c r="CQ1289">
        <v>232</v>
      </c>
      <c r="CR1289">
        <v>1</v>
      </c>
      <c r="CW1289">
        <v>15512517</v>
      </c>
      <c r="CY1289">
        <v>0</v>
      </c>
      <c r="CZ1289">
        <v>0</v>
      </c>
      <c r="DA1289">
        <v>1</v>
      </c>
      <c r="DB1289">
        <v>0</v>
      </c>
      <c r="DC1289">
        <v>0</v>
      </c>
      <c r="DD1289">
        <v>1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>"12/16/2021 14:50:08.274"</f>
        <v>12/16/2021 14:50:08.274</v>
      </c>
      <c r="C1290" t="str">
        <f t="shared" si="61"/>
        <v>FFDFD3C0</v>
      </c>
      <c r="D1290" t="s">
        <v>133</v>
      </c>
      <c r="E1290">
        <v>44</v>
      </c>
      <c r="H1290">
        <v>131</v>
      </c>
      <c r="I1290" t="s">
        <v>134</v>
      </c>
      <c r="J1290" t="s">
        <v>135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"14:50:08.070"</f>
        <v>14:50:08.070</v>
      </c>
      <c r="T1290" t="str">
        <f>"14:50:07.770"</f>
        <v>14:50:07.770</v>
      </c>
      <c r="U1290" t="str">
        <f t="shared" si="62"/>
        <v>A0F928</v>
      </c>
      <c r="V1290">
        <v>0</v>
      </c>
      <c r="W1290">
        <v>0</v>
      </c>
      <c r="X1290">
        <v>2</v>
      </c>
      <c r="Z1290">
        <v>0</v>
      </c>
      <c r="AA1290">
        <v>9</v>
      </c>
      <c r="AB1290">
        <v>3</v>
      </c>
      <c r="AC1290">
        <v>0</v>
      </c>
      <c r="AD1290">
        <v>10</v>
      </c>
      <c r="AE1290">
        <v>0</v>
      </c>
      <c r="AF1290">
        <v>0</v>
      </c>
      <c r="AG1290">
        <v>2</v>
      </c>
      <c r="AH1290">
        <v>1</v>
      </c>
      <c r="AI1290" t="s">
        <v>726</v>
      </c>
      <c r="AJ1290">
        <v>35.789509000000002</v>
      </c>
      <c r="AK1290" t="s">
        <v>727</v>
      </c>
      <c r="AL1290">
        <v>-84.017128999999997</v>
      </c>
      <c r="AM1290">
        <v>25</v>
      </c>
      <c r="AN1290">
        <v>1300</v>
      </c>
      <c r="AO1290" t="s">
        <v>118</v>
      </c>
      <c r="AP1290">
        <v>-97</v>
      </c>
      <c r="AQ1290">
        <v>-96</v>
      </c>
      <c r="AR1290">
        <v>832</v>
      </c>
      <c r="AZ1290">
        <v>300</v>
      </c>
      <c r="BA1290">
        <v>1</v>
      </c>
      <c r="BB1290" t="str">
        <f t="shared" si="58"/>
        <v xml:space="preserve">N162AM  </v>
      </c>
      <c r="BC1290">
        <v>1</v>
      </c>
      <c r="BE1290">
        <v>0</v>
      </c>
      <c r="BF1290">
        <v>0</v>
      </c>
      <c r="BG1290">
        <v>0</v>
      </c>
      <c r="BH1290">
        <v>1550</v>
      </c>
      <c r="BI1290">
        <v>1</v>
      </c>
      <c r="BJ1290">
        <v>1</v>
      </c>
      <c r="BK1290">
        <v>1</v>
      </c>
      <c r="BL1290">
        <v>0</v>
      </c>
      <c r="BO1290">
        <v>0</v>
      </c>
      <c r="BP1290">
        <v>0</v>
      </c>
      <c r="BW1290" t="str">
        <f>"14:50:08.076"</f>
        <v>14:50:08.076</v>
      </c>
      <c r="CJ1290">
        <v>2</v>
      </c>
      <c r="CK1290">
        <v>2</v>
      </c>
      <c r="CL1290">
        <v>0</v>
      </c>
      <c r="CM1290">
        <v>2</v>
      </c>
      <c r="CN1290">
        <v>0</v>
      </c>
      <c r="CO1290">
        <v>3</v>
      </c>
      <c r="CP1290" t="s">
        <v>119</v>
      </c>
      <c r="CQ1290">
        <v>232</v>
      </c>
      <c r="CR1290">
        <v>1</v>
      </c>
      <c r="CW1290">
        <v>15513850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1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"12/16/2021 14:50:08.274"</f>
        <v>12/16/2021 14:50:08.274</v>
      </c>
      <c r="C1291" t="str">
        <f t="shared" si="61"/>
        <v>FFDFD3C0</v>
      </c>
      <c r="D1291" t="s">
        <v>124</v>
      </c>
      <c r="E1291">
        <v>5</v>
      </c>
      <c r="F1291">
        <v>1005</v>
      </c>
      <c r="G1291" t="s">
        <v>114</v>
      </c>
      <c r="J1291" t="s">
        <v>125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"14:50:08.070"</f>
        <v>14:50:08.070</v>
      </c>
      <c r="T1291" t="str">
        <f>"14:50:07.770"</f>
        <v>14:50:07.770</v>
      </c>
      <c r="U1291" t="str">
        <f t="shared" si="62"/>
        <v>A0F928</v>
      </c>
      <c r="V1291">
        <v>0</v>
      </c>
      <c r="W1291">
        <v>0</v>
      </c>
      <c r="X1291">
        <v>2</v>
      </c>
      <c r="Z1291">
        <v>0</v>
      </c>
      <c r="AA1291">
        <v>9</v>
      </c>
      <c r="AB1291">
        <v>3</v>
      </c>
      <c r="AC1291">
        <v>0</v>
      </c>
      <c r="AD1291">
        <v>10</v>
      </c>
      <c r="AE1291">
        <v>0</v>
      </c>
      <c r="AF1291">
        <v>0</v>
      </c>
      <c r="AG1291">
        <v>2</v>
      </c>
      <c r="AH1291">
        <v>1</v>
      </c>
      <c r="AI1291" t="s">
        <v>726</v>
      </c>
      <c r="AJ1291">
        <v>35.789509000000002</v>
      </c>
      <c r="AK1291" t="s">
        <v>727</v>
      </c>
      <c r="AL1291">
        <v>-84.017128999999997</v>
      </c>
      <c r="AM1291">
        <v>25</v>
      </c>
      <c r="AN1291">
        <v>1300</v>
      </c>
      <c r="AO1291" t="s">
        <v>118</v>
      </c>
      <c r="AP1291">
        <v>-97</v>
      </c>
      <c r="AQ1291">
        <v>-96</v>
      </c>
      <c r="AR1291">
        <v>832</v>
      </c>
      <c r="AZ1291">
        <v>300</v>
      </c>
      <c r="BA1291">
        <v>1</v>
      </c>
      <c r="BB1291" t="str">
        <f t="shared" si="58"/>
        <v xml:space="preserve">N162AM  </v>
      </c>
      <c r="BC1291">
        <v>1</v>
      </c>
      <c r="BE1291">
        <v>0</v>
      </c>
      <c r="BF1291">
        <v>0</v>
      </c>
      <c r="BG1291">
        <v>0</v>
      </c>
      <c r="BH1291">
        <v>1550</v>
      </c>
      <c r="BI1291">
        <v>1</v>
      </c>
      <c r="BJ1291">
        <v>1</v>
      </c>
      <c r="BK1291">
        <v>1</v>
      </c>
      <c r="BL1291">
        <v>0</v>
      </c>
      <c r="BO1291">
        <v>0</v>
      </c>
      <c r="BP1291">
        <v>0</v>
      </c>
      <c r="BW1291" t="str">
        <f>"14:50:08.076"</f>
        <v>14:50:08.076</v>
      </c>
      <c r="CJ1291">
        <v>2</v>
      </c>
      <c r="CK1291">
        <v>2</v>
      </c>
      <c r="CL1291">
        <v>0</v>
      </c>
      <c r="CM1291">
        <v>2</v>
      </c>
      <c r="CN1291">
        <v>0</v>
      </c>
      <c r="CO1291">
        <v>3</v>
      </c>
      <c r="CP1291" t="s">
        <v>119</v>
      </c>
      <c r="CQ1291">
        <v>232</v>
      </c>
      <c r="CR1291">
        <v>1</v>
      </c>
      <c r="CW1291">
        <v>15513850</v>
      </c>
      <c r="CY1291">
        <v>0</v>
      </c>
      <c r="CZ1291">
        <v>0</v>
      </c>
      <c r="DA1291">
        <v>1</v>
      </c>
      <c r="DB1291">
        <v>0</v>
      </c>
      <c r="DC1291">
        <v>0</v>
      </c>
      <c r="DD1291">
        <v>1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"12/16/2021 14:50:08.352"</f>
        <v>12/16/2021 14:50:08.352</v>
      </c>
      <c r="C1292" t="str">
        <f t="shared" si="61"/>
        <v>FFDFD3C0</v>
      </c>
      <c r="D1292" t="s">
        <v>113</v>
      </c>
      <c r="E1292">
        <v>8</v>
      </c>
      <c r="H1292">
        <v>176</v>
      </c>
      <c r="I1292" t="s">
        <v>114</v>
      </c>
      <c r="J1292" t="s">
        <v>115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"14:50:08.070"</f>
        <v>14:50:08.070</v>
      </c>
      <c r="T1292" t="str">
        <f>"14:50:07.770"</f>
        <v>14:50:07.770</v>
      </c>
      <c r="U1292" t="str">
        <f t="shared" si="62"/>
        <v>A0F928</v>
      </c>
      <c r="V1292">
        <v>0</v>
      </c>
      <c r="W1292">
        <v>0</v>
      </c>
      <c r="X1292">
        <v>2</v>
      </c>
      <c r="Z1292">
        <v>0</v>
      </c>
      <c r="AA1292">
        <v>9</v>
      </c>
      <c r="AB1292">
        <v>3</v>
      </c>
      <c r="AC1292">
        <v>0</v>
      </c>
      <c r="AD1292">
        <v>10</v>
      </c>
      <c r="AE1292">
        <v>0</v>
      </c>
      <c r="AF1292">
        <v>0</v>
      </c>
      <c r="AG1292">
        <v>2</v>
      </c>
      <c r="AH1292">
        <v>1</v>
      </c>
      <c r="AI1292" t="s">
        <v>726</v>
      </c>
      <c r="AJ1292">
        <v>35.789509000000002</v>
      </c>
      <c r="AK1292" t="s">
        <v>727</v>
      </c>
      <c r="AL1292">
        <v>-84.017128999999997</v>
      </c>
      <c r="AM1292">
        <v>25</v>
      </c>
      <c r="AN1292">
        <v>1300</v>
      </c>
      <c r="AO1292" t="s">
        <v>118</v>
      </c>
      <c r="AP1292">
        <v>-97</v>
      </c>
      <c r="AQ1292">
        <v>-96</v>
      </c>
      <c r="AR1292">
        <v>832</v>
      </c>
      <c r="AZ1292">
        <v>300</v>
      </c>
      <c r="BA1292">
        <v>1</v>
      </c>
      <c r="BB1292" t="str">
        <f t="shared" ref="BB1292:BB1317" si="63">"N162AM  "</f>
        <v xml:space="preserve">N162AM  </v>
      </c>
      <c r="BC1292">
        <v>1</v>
      </c>
      <c r="BE1292">
        <v>0</v>
      </c>
      <c r="BF1292">
        <v>0</v>
      </c>
      <c r="BG1292">
        <v>0</v>
      </c>
      <c r="BH1292">
        <v>1550</v>
      </c>
      <c r="BI1292">
        <v>1</v>
      </c>
      <c r="BJ1292">
        <v>1</v>
      </c>
      <c r="BK1292">
        <v>1</v>
      </c>
      <c r="BL1292">
        <v>0</v>
      </c>
      <c r="BO1292">
        <v>0</v>
      </c>
      <c r="BP1292">
        <v>0</v>
      </c>
      <c r="BW1292" t="str">
        <f>"14:50:08.076"</f>
        <v>14:50:08.076</v>
      </c>
      <c r="CJ1292">
        <v>2</v>
      </c>
      <c r="CK1292">
        <v>2</v>
      </c>
      <c r="CL1292">
        <v>0</v>
      </c>
      <c r="CM1292">
        <v>2</v>
      </c>
      <c r="CN1292">
        <v>0</v>
      </c>
      <c r="CO1292">
        <v>3</v>
      </c>
      <c r="CP1292" t="s">
        <v>119</v>
      </c>
      <c r="CQ1292">
        <v>232</v>
      </c>
      <c r="CR1292">
        <v>1</v>
      </c>
      <c r="CW1292">
        <v>15513850</v>
      </c>
      <c r="CY1292">
        <v>0</v>
      </c>
      <c r="CZ1292">
        <v>0</v>
      </c>
      <c r="DA1292">
        <v>1</v>
      </c>
      <c r="DB1292">
        <v>0</v>
      </c>
      <c r="DC1292">
        <v>0</v>
      </c>
      <c r="DD1292">
        <v>1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"12/16/2021 14:50:08.352"</f>
        <v>12/16/2021 14:50:08.352</v>
      </c>
      <c r="C1293" t="str">
        <f t="shared" si="61"/>
        <v>FFDFD3C0</v>
      </c>
      <c r="D1293" t="s">
        <v>124</v>
      </c>
      <c r="E1293">
        <v>10</v>
      </c>
      <c r="F1293">
        <v>1010</v>
      </c>
      <c r="G1293" t="s">
        <v>130</v>
      </c>
      <c r="J1293" t="s">
        <v>125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"14:50:08.070"</f>
        <v>14:50:08.070</v>
      </c>
      <c r="T1293" t="str">
        <f>"14:50:07.770"</f>
        <v>14:50:07.770</v>
      </c>
      <c r="U1293" t="str">
        <f t="shared" si="62"/>
        <v>A0F928</v>
      </c>
      <c r="V1293">
        <v>0</v>
      </c>
      <c r="W1293">
        <v>0</v>
      </c>
      <c r="X1293">
        <v>2</v>
      </c>
      <c r="Z1293">
        <v>0</v>
      </c>
      <c r="AA1293">
        <v>9</v>
      </c>
      <c r="AB1293">
        <v>3</v>
      </c>
      <c r="AC1293">
        <v>0</v>
      </c>
      <c r="AD1293">
        <v>10</v>
      </c>
      <c r="AE1293">
        <v>0</v>
      </c>
      <c r="AF1293">
        <v>0</v>
      </c>
      <c r="AG1293">
        <v>2</v>
      </c>
      <c r="AH1293">
        <v>1</v>
      </c>
      <c r="AI1293" t="s">
        <v>726</v>
      </c>
      <c r="AJ1293">
        <v>35.789509000000002</v>
      </c>
      <c r="AK1293" t="s">
        <v>727</v>
      </c>
      <c r="AL1293">
        <v>-84.017128999999997</v>
      </c>
      <c r="AM1293">
        <v>25</v>
      </c>
      <c r="AN1293">
        <v>1300</v>
      </c>
      <c r="AO1293" t="s">
        <v>118</v>
      </c>
      <c r="AP1293">
        <v>-97</v>
      </c>
      <c r="AQ1293">
        <v>-96</v>
      </c>
      <c r="AR1293">
        <v>832</v>
      </c>
      <c r="AZ1293">
        <v>300</v>
      </c>
      <c r="BA1293">
        <v>1</v>
      </c>
      <c r="BB1293" t="str">
        <f t="shared" si="63"/>
        <v xml:space="preserve">N162AM  </v>
      </c>
      <c r="BC1293">
        <v>1</v>
      </c>
      <c r="BE1293">
        <v>0</v>
      </c>
      <c r="BF1293">
        <v>0</v>
      </c>
      <c r="BG1293">
        <v>0</v>
      </c>
      <c r="BH1293">
        <v>1550</v>
      </c>
      <c r="BI1293">
        <v>1</v>
      </c>
      <c r="BJ1293">
        <v>1</v>
      </c>
      <c r="BK1293">
        <v>1</v>
      </c>
      <c r="BL1293">
        <v>0</v>
      </c>
      <c r="BO1293">
        <v>0</v>
      </c>
      <c r="BP1293">
        <v>0</v>
      </c>
      <c r="BW1293" t="str">
        <f>"14:50:08.076"</f>
        <v>14:50:08.076</v>
      </c>
      <c r="CJ1293">
        <v>2</v>
      </c>
      <c r="CK1293">
        <v>2</v>
      </c>
      <c r="CL1293">
        <v>0</v>
      </c>
      <c r="CM1293">
        <v>2</v>
      </c>
      <c r="CN1293">
        <v>0</v>
      </c>
      <c r="CO1293">
        <v>3</v>
      </c>
      <c r="CP1293" t="s">
        <v>119</v>
      </c>
      <c r="CQ1293">
        <v>232</v>
      </c>
      <c r="CR1293">
        <v>1</v>
      </c>
      <c r="CW1293">
        <v>15513850</v>
      </c>
      <c r="CY1293">
        <v>0</v>
      </c>
      <c r="CZ1293">
        <v>0</v>
      </c>
      <c r="DA1293">
        <v>1</v>
      </c>
      <c r="DB1293">
        <v>0</v>
      </c>
      <c r="DC1293">
        <v>0</v>
      </c>
      <c r="DD1293">
        <v>1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"12/16/2021 14:50:09.290"</f>
        <v>12/16/2021 14:50:09.290</v>
      </c>
      <c r="C1294" t="str">
        <f t="shared" si="61"/>
        <v>FFDFD3C0</v>
      </c>
      <c r="D1294" t="s">
        <v>113</v>
      </c>
      <c r="E1294">
        <v>8</v>
      </c>
      <c r="H1294">
        <v>176</v>
      </c>
      <c r="I1294" t="s">
        <v>114</v>
      </c>
      <c r="J1294" t="s">
        <v>115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"14:50:09.070"</f>
        <v>14:50:09.070</v>
      </c>
      <c r="T1294" t="str">
        <f>"14:50:08.570"</f>
        <v>14:50:08.570</v>
      </c>
      <c r="U1294" t="str">
        <f t="shared" si="62"/>
        <v>A0F928</v>
      </c>
      <c r="V1294">
        <v>0</v>
      </c>
      <c r="W1294">
        <v>0</v>
      </c>
      <c r="X1294">
        <v>2</v>
      </c>
      <c r="Z1294">
        <v>0</v>
      </c>
      <c r="AA1294">
        <v>9</v>
      </c>
      <c r="AB1294">
        <v>3</v>
      </c>
      <c r="AC1294">
        <v>0</v>
      </c>
      <c r="AD1294">
        <v>10</v>
      </c>
      <c r="AE1294">
        <v>0</v>
      </c>
      <c r="AF1294">
        <v>0</v>
      </c>
      <c r="AG1294">
        <v>2</v>
      </c>
      <c r="AH1294">
        <v>1</v>
      </c>
      <c r="AI1294" t="s">
        <v>728</v>
      </c>
      <c r="AJ1294">
        <v>35.789037</v>
      </c>
      <c r="AK1294" t="s">
        <v>729</v>
      </c>
      <c r="AL1294">
        <v>-84.017707999999999</v>
      </c>
      <c r="AM1294">
        <v>25</v>
      </c>
      <c r="AN1294">
        <v>1300</v>
      </c>
      <c r="AO1294" t="s">
        <v>118</v>
      </c>
      <c r="AP1294">
        <v>-97</v>
      </c>
      <c r="AQ1294">
        <v>-96</v>
      </c>
      <c r="AR1294">
        <v>832</v>
      </c>
      <c r="AZ1294">
        <v>300</v>
      </c>
      <c r="BA1294">
        <v>1</v>
      </c>
      <c r="BB1294" t="str">
        <f t="shared" si="63"/>
        <v xml:space="preserve">N162AM  </v>
      </c>
      <c r="BC1294">
        <v>1</v>
      </c>
      <c r="BE1294">
        <v>0</v>
      </c>
      <c r="BF1294">
        <v>0</v>
      </c>
      <c r="BG1294">
        <v>0</v>
      </c>
      <c r="BH1294">
        <v>1575</v>
      </c>
      <c r="BI1294">
        <v>1</v>
      </c>
      <c r="BJ1294">
        <v>1</v>
      </c>
      <c r="BK1294">
        <v>1</v>
      </c>
      <c r="BL1294">
        <v>0</v>
      </c>
      <c r="BO1294">
        <v>0</v>
      </c>
      <c r="BP1294">
        <v>0</v>
      </c>
      <c r="BW1294" t="str">
        <f>"14:50:09.073"</f>
        <v>14:50:09.073</v>
      </c>
      <c r="CJ1294">
        <v>2</v>
      </c>
      <c r="CK1294">
        <v>2</v>
      </c>
      <c r="CL1294">
        <v>0</v>
      </c>
      <c r="CM1294">
        <v>2</v>
      </c>
      <c r="CN1294">
        <v>0</v>
      </c>
      <c r="CO1294">
        <v>2</v>
      </c>
      <c r="CP1294" t="s">
        <v>119</v>
      </c>
      <c r="CQ1294">
        <v>232</v>
      </c>
      <c r="CR1294">
        <v>2</v>
      </c>
      <c r="CW1294">
        <v>6714273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1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"12/16/2021 14:50:09.290"</f>
        <v>12/16/2021 14:50:09.290</v>
      </c>
      <c r="C1295" t="str">
        <f t="shared" si="61"/>
        <v>FFDFD3C0</v>
      </c>
      <c r="D1295" t="s">
        <v>124</v>
      </c>
      <c r="E1295">
        <v>10</v>
      </c>
      <c r="F1295">
        <v>1010</v>
      </c>
      <c r="G1295" t="s">
        <v>130</v>
      </c>
      <c r="J1295" t="s">
        <v>125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"14:50:09.070"</f>
        <v>14:50:09.070</v>
      </c>
      <c r="T1295" t="str">
        <f>"14:50:08.570"</f>
        <v>14:50:08.570</v>
      </c>
      <c r="U1295" t="str">
        <f t="shared" si="62"/>
        <v>A0F928</v>
      </c>
      <c r="V1295">
        <v>0</v>
      </c>
      <c r="W1295">
        <v>0</v>
      </c>
      <c r="X1295">
        <v>2</v>
      </c>
      <c r="Z1295">
        <v>0</v>
      </c>
      <c r="AA1295">
        <v>9</v>
      </c>
      <c r="AB1295">
        <v>3</v>
      </c>
      <c r="AC1295">
        <v>0</v>
      </c>
      <c r="AD1295">
        <v>10</v>
      </c>
      <c r="AE1295">
        <v>0</v>
      </c>
      <c r="AF1295">
        <v>0</v>
      </c>
      <c r="AG1295">
        <v>2</v>
      </c>
      <c r="AH1295">
        <v>1</v>
      </c>
      <c r="AI1295" t="s">
        <v>728</v>
      </c>
      <c r="AJ1295">
        <v>35.789037</v>
      </c>
      <c r="AK1295" t="s">
        <v>729</v>
      </c>
      <c r="AL1295">
        <v>-84.017707999999999</v>
      </c>
      <c r="AM1295">
        <v>25</v>
      </c>
      <c r="AN1295">
        <v>1300</v>
      </c>
      <c r="AO1295" t="s">
        <v>118</v>
      </c>
      <c r="AP1295">
        <v>-97</v>
      </c>
      <c r="AQ1295">
        <v>-96</v>
      </c>
      <c r="AR1295">
        <v>832</v>
      </c>
      <c r="AZ1295">
        <v>300</v>
      </c>
      <c r="BA1295">
        <v>1</v>
      </c>
      <c r="BB1295" t="str">
        <f t="shared" si="63"/>
        <v xml:space="preserve">N162AM  </v>
      </c>
      <c r="BC1295">
        <v>1</v>
      </c>
      <c r="BE1295">
        <v>0</v>
      </c>
      <c r="BF1295">
        <v>0</v>
      </c>
      <c r="BG1295">
        <v>0</v>
      </c>
      <c r="BH1295">
        <v>1575</v>
      </c>
      <c r="BI1295">
        <v>1</v>
      </c>
      <c r="BJ1295">
        <v>1</v>
      </c>
      <c r="BK1295">
        <v>1</v>
      </c>
      <c r="BL1295">
        <v>0</v>
      </c>
      <c r="BO1295">
        <v>0</v>
      </c>
      <c r="BP1295">
        <v>0</v>
      </c>
      <c r="BW1295" t="str">
        <f>"14:50:09.073"</f>
        <v>14:50:09.073</v>
      </c>
      <c r="CJ1295">
        <v>2</v>
      </c>
      <c r="CK1295">
        <v>2</v>
      </c>
      <c r="CL1295">
        <v>0</v>
      </c>
      <c r="CM1295">
        <v>2</v>
      </c>
      <c r="CN1295">
        <v>0</v>
      </c>
      <c r="CO1295">
        <v>2</v>
      </c>
      <c r="CP1295" t="s">
        <v>119</v>
      </c>
      <c r="CQ1295">
        <v>232</v>
      </c>
      <c r="CR1295">
        <v>2</v>
      </c>
      <c r="CW1295">
        <v>6714273</v>
      </c>
      <c r="CY1295">
        <v>0</v>
      </c>
      <c r="CZ1295">
        <v>0</v>
      </c>
      <c r="DA1295">
        <v>1</v>
      </c>
      <c r="DB1295">
        <v>0</v>
      </c>
      <c r="DC1295">
        <v>0</v>
      </c>
      <c r="DD1295">
        <v>1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"12/16/2021 14:50:09.290"</f>
        <v>12/16/2021 14:50:09.290</v>
      </c>
      <c r="C1296" t="str">
        <f t="shared" si="61"/>
        <v>FFDFD3C0</v>
      </c>
      <c r="D1296" t="s">
        <v>133</v>
      </c>
      <c r="E1296">
        <v>44</v>
      </c>
      <c r="H1296">
        <v>131</v>
      </c>
      <c r="I1296" t="s">
        <v>134</v>
      </c>
      <c r="J1296" t="s">
        <v>135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"14:50:09.070"</f>
        <v>14:50:09.070</v>
      </c>
      <c r="T1296" t="str">
        <f>"14:50:08.570"</f>
        <v>14:50:08.570</v>
      </c>
      <c r="U1296" t="str">
        <f t="shared" si="62"/>
        <v>A0F928</v>
      </c>
      <c r="V1296">
        <v>0</v>
      </c>
      <c r="W1296">
        <v>0</v>
      </c>
      <c r="X1296">
        <v>2</v>
      </c>
      <c r="Z1296">
        <v>0</v>
      </c>
      <c r="AA1296">
        <v>9</v>
      </c>
      <c r="AB1296">
        <v>3</v>
      </c>
      <c r="AC1296">
        <v>0</v>
      </c>
      <c r="AD1296">
        <v>10</v>
      </c>
      <c r="AE1296">
        <v>0</v>
      </c>
      <c r="AF1296">
        <v>0</v>
      </c>
      <c r="AG1296">
        <v>2</v>
      </c>
      <c r="AH1296">
        <v>1</v>
      </c>
      <c r="AI1296" t="s">
        <v>728</v>
      </c>
      <c r="AJ1296">
        <v>35.789037</v>
      </c>
      <c r="AK1296" t="s">
        <v>729</v>
      </c>
      <c r="AL1296">
        <v>-84.017707999999999</v>
      </c>
      <c r="AM1296">
        <v>25</v>
      </c>
      <c r="AN1296">
        <v>1300</v>
      </c>
      <c r="AO1296" t="s">
        <v>118</v>
      </c>
      <c r="AP1296">
        <v>-97</v>
      </c>
      <c r="AQ1296">
        <v>-96</v>
      </c>
      <c r="AR1296">
        <v>832</v>
      </c>
      <c r="AZ1296">
        <v>300</v>
      </c>
      <c r="BA1296">
        <v>1</v>
      </c>
      <c r="BB1296" t="str">
        <f t="shared" si="63"/>
        <v xml:space="preserve">N162AM  </v>
      </c>
      <c r="BC1296">
        <v>1</v>
      </c>
      <c r="BE1296">
        <v>0</v>
      </c>
      <c r="BF1296">
        <v>0</v>
      </c>
      <c r="BG1296">
        <v>0</v>
      </c>
      <c r="BH1296">
        <v>1575</v>
      </c>
      <c r="BI1296">
        <v>1</v>
      </c>
      <c r="BJ1296">
        <v>1</v>
      </c>
      <c r="BK1296">
        <v>1</v>
      </c>
      <c r="BL1296">
        <v>0</v>
      </c>
      <c r="BO1296">
        <v>0</v>
      </c>
      <c r="BP1296">
        <v>0</v>
      </c>
      <c r="BW1296" t="str">
        <f>"14:50:09.073"</f>
        <v>14:50:09.073</v>
      </c>
      <c r="CJ1296">
        <v>2</v>
      </c>
      <c r="CK1296">
        <v>2</v>
      </c>
      <c r="CL1296">
        <v>0</v>
      </c>
      <c r="CM1296">
        <v>2</v>
      </c>
      <c r="CN1296">
        <v>0</v>
      </c>
      <c r="CO1296">
        <v>2</v>
      </c>
      <c r="CP1296" t="s">
        <v>119</v>
      </c>
      <c r="CQ1296">
        <v>232</v>
      </c>
      <c r="CR1296">
        <v>2</v>
      </c>
      <c r="CW1296">
        <v>6714273</v>
      </c>
      <c r="CY1296">
        <v>0</v>
      </c>
      <c r="CZ1296">
        <v>0</v>
      </c>
      <c r="DA1296">
        <v>1</v>
      </c>
      <c r="DB1296">
        <v>0</v>
      </c>
      <c r="DC1296">
        <v>0</v>
      </c>
      <c r="DD1296">
        <v>1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"12/16/2021 14:50:09.290"</f>
        <v>12/16/2021 14:50:09.290</v>
      </c>
      <c r="C1297" t="str">
        <f t="shared" si="61"/>
        <v>FFDFD3C0</v>
      </c>
      <c r="D1297" t="s">
        <v>124</v>
      </c>
      <c r="E1297">
        <v>5</v>
      </c>
      <c r="F1297">
        <v>1005</v>
      </c>
      <c r="G1297" t="s">
        <v>114</v>
      </c>
      <c r="J1297" t="s">
        <v>125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"14:50:09.070"</f>
        <v>14:50:09.070</v>
      </c>
      <c r="T1297" t="str">
        <f>"14:50:08.570"</f>
        <v>14:50:08.570</v>
      </c>
      <c r="U1297" t="str">
        <f t="shared" si="62"/>
        <v>A0F928</v>
      </c>
      <c r="V1297">
        <v>0</v>
      </c>
      <c r="W1297">
        <v>0</v>
      </c>
      <c r="X1297">
        <v>2</v>
      </c>
      <c r="Z1297">
        <v>0</v>
      </c>
      <c r="AA1297">
        <v>9</v>
      </c>
      <c r="AB1297">
        <v>3</v>
      </c>
      <c r="AC1297">
        <v>0</v>
      </c>
      <c r="AD1297">
        <v>10</v>
      </c>
      <c r="AE1297">
        <v>0</v>
      </c>
      <c r="AF1297">
        <v>0</v>
      </c>
      <c r="AG1297">
        <v>2</v>
      </c>
      <c r="AH1297">
        <v>1</v>
      </c>
      <c r="AI1297" t="s">
        <v>728</v>
      </c>
      <c r="AJ1297">
        <v>35.789037</v>
      </c>
      <c r="AK1297" t="s">
        <v>729</v>
      </c>
      <c r="AL1297">
        <v>-84.017707999999999</v>
      </c>
      <c r="AM1297">
        <v>25</v>
      </c>
      <c r="AN1297">
        <v>1300</v>
      </c>
      <c r="AO1297" t="s">
        <v>118</v>
      </c>
      <c r="AP1297">
        <v>-97</v>
      </c>
      <c r="AQ1297">
        <v>-96</v>
      </c>
      <c r="AR1297">
        <v>832</v>
      </c>
      <c r="AZ1297">
        <v>300</v>
      </c>
      <c r="BA1297">
        <v>1</v>
      </c>
      <c r="BB1297" t="str">
        <f t="shared" si="63"/>
        <v xml:space="preserve">N162AM  </v>
      </c>
      <c r="BC1297">
        <v>1</v>
      </c>
      <c r="BE1297">
        <v>0</v>
      </c>
      <c r="BF1297">
        <v>0</v>
      </c>
      <c r="BG1297">
        <v>0</v>
      </c>
      <c r="BH1297">
        <v>1575</v>
      </c>
      <c r="BI1297">
        <v>1</v>
      </c>
      <c r="BJ1297">
        <v>1</v>
      </c>
      <c r="BK1297">
        <v>1</v>
      </c>
      <c r="BL1297">
        <v>0</v>
      </c>
      <c r="BO1297">
        <v>0</v>
      </c>
      <c r="BP1297">
        <v>0</v>
      </c>
      <c r="BW1297" t="str">
        <f>"14:50:09.073"</f>
        <v>14:50:09.073</v>
      </c>
      <c r="CJ1297">
        <v>2</v>
      </c>
      <c r="CK1297">
        <v>2</v>
      </c>
      <c r="CL1297">
        <v>0</v>
      </c>
      <c r="CM1297">
        <v>2</v>
      </c>
      <c r="CN1297">
        <v>0</v>
      </c>
      <c r="CO1297">
        <v>2</v>
      </c>
      <c r="CP1297" t="s">
        <v>119</v>
      </c>
      <c r="CQ1297">
        <v>232</v>
      </c>
      <c r="CR1297">
        <v>2</v>
      </c>
      <c r="CW1297">
        <v>6714273</v>
      </c>
      <c r="CY1297">
        <v>0</v>
      </c>
      <c r="CZ1297">
        <v>0</v>
      </c>
      <c r="DA1297">
        <v>1</v>
      </c>
      <c r="DB1297">
        <v>0</v>
      </c>
      <c r="DC1297">
        <v>0</v>
      </c>
      <c r="DD1297">
        <v>1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"12/16/2021 14:50:10.226"</f>
        <v>12/16/2021 14:50:10.226</v>
      </c>
      <c r="C1298" t="str">
        <f t="shared" si="61"/>
        <v>FFDFD3C0</v>
      </c>
      <c r="D1298" t="s">
        <v>113</v>
      </c>
      <c r="E1298">
        <v>8</v>
      </c>
      <c r="H1298">
        <v>176</v>
      </c>
      <c r="I1298" t="s">
        <v>114</v>
      </c>
      <c r="J1298" t="s">
        <v>115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"14:50:10.023"</f>
        <v>14:50:10.023</v>
      </c>
      <c r="T1298" t="str">
        <f>"14:50:09.623"</f>
        <v>14:50:09.623</v>
      </c>
      <c r="U1298" t="str">
        <f t="shared" si="62"/>
        <v>A0F928</v>
      </c>
      <c r="V1298">
        <v>0</v>
      </c>
      <c r="W1298">
        <v>0</v>
      </c>
      <c r="X1298">
        <v>2</v>
      </c>
      <c r="Z1298">
        <v>0</v>
      </c>
      <c r="AA1298">
        <v>9</v>
      </c>
      <c r="AB1298">
        <v>3</v>
      </c>
      <c r="AC1298">
        <v>0</v>
      </c>
      <c r="AD1298">
        <v>10</v>
      </c>
      <c r="AE1298">
        <v>0</v>
      </c>
      <c r="AF1298">
        <v>0</v>
      </c>
      <c r="AG1298">
        <v>2</v>
      </c>
      <c r="AH1298">
        <v>1</v>
      </c>
      <c r="AI1298" t="s">
        <v>287</v>
      </c>
      <c r="AJ1298">
        <v>35.788651000000002</v>
      </c>
      <c r="AK1298" t="s">
        <v>730</v>
      </c>
      <c r="AL1298">
        <v>-84.018180000000001</v>
      </c>
      <c r="AM1298">
        <v>25</v>
      </c>
      <c r="AN1298">
        <v>1325</v>
      </c>
      <c r="AO1298" t="s">
        <v>118</v>
      </c>
      <c r="AP1298">
        <v>-98</v>
      </c>
      <c r="AQ1298">
        <v>-96</v>
      </c>
      <c r="AR1298">
        <v>832</v>
      </c>
      <c r="AZ1298">
        <v>300</v>
      </c>
      <c r="BA1298">
        <v>1</v>
      </c>
      <c r="BB1298" t="str">
        <f t="shared" si="63"/>
        <v xml:space="preserve">N162AM  </v>
      </c>
      <c r="BC1298">
        <v>1</v>
      </c>
      <c r="BE1298">
        <v>0</v>
      </c>
      <c r="BF1298">
        <v>0</v>
      </c>
      <c r="BG1298">
        <v>0</v>
      </c>
      <c r="BH1298">
        <v>1575</v>
      </c>
      <c r="BI1298">
        <v>1</v>
      </c>
      <c r="BJ1298">
        <v>1</v>
      </c>
      <c r="BK1298">
        <v>1</v>
      </c>
      <c r="BL1298">
        <v>0</v>
      </c>
      <c r="BO1298">
        <v>0</v>
      </c>
      <c r="BP1298">
        <v>0</v>
      </c>
      <c r="BW1298" t="str">
        <f>"14:50:10.029"</f>
        <v>14:50:10.029</v>
      </c>
      <c r="CJ1298">
        <v>2</v>
      </c>
      <c r="CK1298">
        <v>2</v>
      </c>
      <c r="CL1298">
        <v>0</v>
      </c>
      <c r="CM1298">
        <v>2</v>
      </c>
      <c r="CN1298">
        <v>0</v>
      </c>
      <c r="CO1298">
        <v>3</v>
      </c>
      <c r="CP1298" t="s">
        <v>119</v>
      </c>
      <c r="CQ1298">
        <v>232</v>
      </c>
      <c r="CR1298">
        <v>2</v>
      </c>
      <c r="CW1298">
        <v>6715892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1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"12/16/2021 14:50:10.226"</f>
        <v>12/16/2021 14:50:10.226</v>
      </c>
      <c r="C1299" t="str">
        <f t="shared" si="61"/>
        <v>FFDFD3C0</v>
      </c>
      <c r="D1299" t="s">
        <v>124</v>
      </c>
      <c r="E1299">
        <v>10</v>
      </c>
      <c r="F1299">
        <v>1010</v>
      </c>
      <c r="G1299" t="s">
        <v>130</v>
      </c>
      <c r="J1299" t="s">
        <v>125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"14:50:10.023"</f>
        <v>14:50:10.023</v>
      </c>
      <c r="T1299" t="str">
        <f>"14:50:09.623"</f>
        <v>14:50:09.623</v>
      </c>
      <c r="U1299" t="str">
        <f t="shared" si="62"/>
        <v>A0F928</v>
      </c>
      <c r="V1299">
        <v>0</v>
      </c>
      <c r="W1299">
        <v>0</v>
      </c>
      <c r="X1299">
        <v>2</v>
      </c>
      <c r="Z1299">
        <v>0</v>
      </c>
      <c r="AA1299">
        <v>9</v>
      </c>
      <c r="AB1299">
        <v>3</v>
      </c>
      <c r="AC1299">
        <v>0</v>
      </c>
      <c r="AD1299">
        <v>10</v>
      </c>
      <c r="AE1299">
        <v>0</v>
      </c>
      <c r="AF1299">
        <v>0</v>
      </c>
      <c r="AG1299">
        <v>2</v>
      </c>
      <c r="AH1299">
        <v>1</v>
      </c>
      <c r="AI1299" t="s">
        <v>287</v>
      </c>
      <c r="AJ1299">
        <v>35.788651000000002</v>
      </c>
      <c r="AK1299" t="s">
        <v>730</v>
      </c>
      <c r="AL1299">
        <v>-84.018180000000001</v>
      </c>
      <c r="AM1299">
        <v>25</v>
      </c>
      <c r="AN1299">
        <v>1325</v>
      </c>
      <c r="AO1299" t="s">
        <v>118</v>
      </c>
      <c r="AP1299">
        <v>-98</v>
      </c>
      <c r="AQ1299">
        <v>-96</v>
      </c>
      <c r="AR1299">
        <v>832</v>
      </c>
      <c r="AZ1299">
        <v>300</v>
      </c>
      <c r="BA1299">
        <v>1</v>
      </c>
      <c r="BB1299" t="str">
        <f t="shared" si="63"/>
        <v xml:space="preserve">N162AM  </v>
      </c>
      <c r="BC1299">
        <v>1</v>
      </c>
      <c r="BE1299">
        <v>0</v>
      </c>
      <c r="BF1299">
        <v>0</v>
      </c>
      <c r="BG1299">
        <v>0</v>
      </c>
      <c r="BH1299">
        <v>1575</v>
      </c>
      <c r="BI1299">
        <v>1</v>
      </c>
      <c r="BJ1299">
        <v>1</v>
      </c>
      <c r="BK1299">
        <v>1</v>
      </c>
      <c r="BL1299">
        <v>0</v>
      </c>
      <c r="BO1299">
        <v>0</v>
      </c>
      <c r="BP1299">
        <v>0</v>
      </c>
      <c r="BW1299" t="str">
        <f>"14:50:10.029"</f>
        <v>14:50:10.029</v>
      </c>
      <c r="CJ1299">
        <v>2</v>
      </c>
      <c r="CK1299">
        <v>2</v>
      </c>
      <c r="CL1299">
        <v>0</v>
      </c>
      <c r="CM1299">
        <v>2</v>
      </c>
      <c r="CN1299">
        <v>0</v>
      </c>
      <c r="CO1299">
        <v>3</v>
      </c>
      <c r="CP1299" t="s">
        <v>119</v>
      </c>
      <c r="CQ1299">
        <v>232</v>
      </c>
      <c r="CR1299">
        <v>2</v>
      </c>
      <c r="CW1299">
        <v>6715892</v>
      </c>
      <c r="CY1299">
        <v>0</v>
      </c>
      <c r="CZ1299">
        <v>0</v>
      </c>
      <c r="DA1299">
        <v>1</v>
      </c>
      <c r="DB1299">
        <v>0</v>
      </c>
      <c r="DC1299">
        <v>0</v>
      </c>
      <c r="DD1299">
        <v>1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"12/16/2021 14:50:10.241"</f>
        <v>12/16/2021 14:50:10.241</v>
      </c>
      <c r="C1300" t="str">
        <f t="shared" si="61"/>
        <v>FFDFD3C0</v>
      </c>
      <c r="D1300" t="s">
        <v>133</v>
      </c>
      <c r="E1300">
        <v>44</v>
      </c>
      <c r="H1300">
        <v>131</v>
      </c>
      <c r="I1300" t="s">
        <v>134</v>
      </c>
      <c r="J1300" t="s">
        <v>135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"14:50:10.023"</f>
        <v>14:50:10.023</v>
      </c>
      <c r="T1300" t="str">
        <f>"14:50:09.623"</f>
        <v>14:50:09.623</v>
      </c>
      <c r="U1300" t="str">
        <f t="shared" si="62"/>
        <v>A0F928</v>
      </c>
      <c r="V1300">
        <v>0</v>
      </c>
      <c r="W1300">
        <v>0</v>
      </c>
      <c r="X1300">
        <v>2</v>
      </c>
      <c r="Z1300">
        <v>0</v>
      </c>
      <c r="AA1300">
        <v>9</v>
      </c>
      <c r="AB1300">
        <v>3</v>
      </c>
      <c r="AC1300">
        <v>0</v>
      </c>
      <c r="AD1300">
        <v>10</v>
      </c>
      <c r="AE1300">
        <v>0</v>
      </c>
      <c r="AF1300">
        <v>0</v>
      </c>
      <c r="AG1300">
        <v>2</v>
      </c>
      <c r="AH1300">
        <v>1</v>
      </c>
      <c r="AI1300" t="s">
        <v>287</v>
      </c>
      <c r="AJ1300">
        <v>35.788651000000002</v>
      </c>
      <c r="AK1300" t="s">
        <v>730</v>
      </c>
      <c r="AL1300">
        <v>-84.018180000000001</v>
      </c>
      <c r="AM1300">
        <v>25</v>
      </c>
      <c r="AN1300">
        <v>1325</v>
      </c>
      <c r="AO1300" t="s">
        <v>118</v>
      </c>
      <c r="AP1300">
        <v>-98</v>
      </c>
      <c r="AQ1300">
        <v>-96</v>
      </c>
      <c r="AR1300">
        <v>832</v>
      </c>
      <c r="AZ1300">
        <v>300</v>
      </c>
      <c r="BA1300">
        <v>1</v>
      </c>
      <c r="BB1300" t="str">
        <f t="shared" si="63"/>
        <v xml:space="preserve">N162AM  </v>
      </c>
      <c r="BC1300">
        <v>1</v>
      </c>
      <c r="BE1300">
        <v>0</v>
      </c>
      <c r="BF1300">
        <v>0</v>
      </c>
      <c r="BG1300">
        <v>0</v>
      </c>
      <c r="BH1300">
        <v>1575</v>
      </c>
      <c r="BI1300">
        <v>1</v>
      </c>
      <c r="BJ1300">
        <v>1</v>
      </c>
      <c r="BK1300">
        <v>1</v>
      </c>
      <c r="BL1300">
        <v>0</v>
      </c>
      <c r="BO1300">
        <v>0</v>
      </c>
      <c r="BP1300">
        <v>0</v>
      </c>
      <c r="BW1300" t="str">
        <f>"14:50:10.029"</f>
        <v>14:50:10.029</v>
      </c>
      <c r="CJ1300">
        <v>2</v>
      </c>
      <c r="CK1300">
        <v>2</v>
      </c>
      <c r="CL1300">
        <v>0</v>
      </c>
      <c r="CM1300">
        <v>2</v>
      </c>
      <c r="CN1300">
        <v>0</v>
      </c>
      <c r="CO1300">
        <v>3</v>
      </c>
      <c r="CP1300" t="s">
        <v>119</v>
      </c>
      <c r="CQ1300">
        <v>232</v>
      </c>
      <c r="CR1300">
        <v>2</v>
      </c>
      <c r="CW1300">
        <v>6715892</v>
      </c>
      <c r="CY1300">
        <v>0</v>
      </c>
      <c r="CZ1300">
        <v>0</v>
      </c>
      <c r="DA1300">
        <v>1</v>
      </c>
      <c r="DB1300">
        <v>0</v>
      </c>
      <c r="DC1300">
        <v>0</v>
      </c>
      <c r="DD1300">
        <v>1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"12/16/2021 14:50:10.241"</f>
        <v>12/16/2021 14:50:10.241</v>
      </c>
      <c r="C1301" t="str">
        <f t="shared" si="61"/>
        <v>FFDFD3C0</v>
      </c>
      <c r="D1301" t="s">
        <v>124</v>
      </c>
      <c r="E1301">
        <v>5</v>
      </c>
      <c r="F1301">
        <v>1005</v>
      </c>
      <c r="G1301" t="s">
        <v>114</v>
      </c>
      <c r="J1301" t="s">
        <v>125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"14:50:10.023"</f>
        <v>14:50:10.023</v>
      </c>
      <c r="T1301" t="str">
        <f>"14:50:09.623"</f>
        <v>14:50:09.623</v>
      </c>
      <c r="U1301" t="str">
        <f t="shared" si="62"/>
        <v>A0F928</v>
      </c>
      <c r="V1301">
        <v>0</v>
      </c>
      <c r="W1301">
        <v>0</v>
      </c>
      <c r="X1301">
        <v>2</v>
      </c>
      <c r="Z1301">
        <v>0</v>
      </c>
      <c r="AA1301">
        <v>9</v>
      </c>
      <c r="AB1301">
        <v>3</v>
      </c>
      <c r="AC1301">
        <v>0</v>
      </c>
      <c r="AD1301">
        <v>10</v>
      </c>
      <c r="AE1301">
        <v>0</v>
      </c>
      <c r="AF1301">
        <v>0</v>
      </c>
      <c r="AG1301">
        <v>2</v>
      </c>
      <c r="AH1301">
        <v>1</v>
      </c>
      <c r="AI1301" t="s">
        <v>287</v>
      </c>
      <c r="AJ1301">
        <v>35.788651000000002</v>
      </c>
      <c r="AK1301" t="s">
        <v>730</v>
      </c>
      <c r="AL1301">
        <v>-84.018180000000001</v>
      </c>
      <c r="AM1301">
        <v>25</v>
      </c>
      <c r="AN1301">
        <v>1325</v>
      </c>
      <c r="AO1301" t="s">
        <v>118</v>
      </c>
      <c r="AP1301">
        <v>-98</v>
      </c>
      <c r="AQ1301">
        <v>-96</v>
      </c>
      <c r="AR1301">
        <v>832</v>
      </c>
      <c r="AZ1301">
        <v>300</v>
      </c>
      <c r="BA1301">
        <v>1</v>
      </c>
      <c r="BB1301" t="str">
        <f t="shared" si="63"/>
        <v xml:space="preserve">N162AM  </v>
      </c>
      <c r="BC1301">
        <v>1</v>
      </c>
      <c r="BE1301">
        <v>0</v>
      </c>
      <c r="BF1301">
        <v>0</v>
      </c>
      <c r="BG1301">
        <v>0</v>
      </c>
      <c r="BH1301">
        <v>1575</v>
      </c>
      <c r="BI1301">
        <v>1</v>
      </c>
      <c r="BJ1301">
        <v>1</v>
      </c>
      <c r="BK1301">
        <v>1</v>
      </c>
      <c r="BL1301">
        <v>0</v>
      </c>
      <c r="BO1301">
        <v>0</v>
      </c>
      <c r="BP1301">
        <v>0</v>
      </c>
      <c r="BW1301" t="str">
        <f>"14:50:10.029"</f>
        <v>14:50:10.029</v>
      </c>
      <c r="CJ1301">
        <v>2</v>
      </c>
      <c r="CK1301">
        <v>2</v>
      </c>
      <c r="CL1301">
        <v>0</v>
      </c>
      <c r="CM1301">
        <v>2</v>
      </c>
      <c r="CN1301">
        <v>0</v>
      </c>
      <c r="CO1301">
        <v>3</v>
      </c>
      <c r="CP1301" t="s">
        <v>119</v>
      </c>
      <c r="CQ1301">
        <v>232</v>
      </c>
      <c r="CR1301">
        <v>2</v>
      </c>
      <c r="CW1301">
        <v>6715892</v>
      </c>
      <c r="CY1301">
        <v>0</v>
      </c>
      <c r="CZ1301">
        <v>0</v>
      </c>
      <c r="DA1301">
        <v>1</v>
      </c>
      <c r="DB1301">
        <v>0</v>
      </c>
      <c r="DC1301">
        <v>0</v>
      </c>
      <c r="DD1301">
        <v>1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"12/16/2021 14:50:11.835"</f>
        <v>12/16/2021 14:50:11.835</v>
      </c>
      <c r="C1302" t="str">
        <f t="shared" si="61"/>
        <v>FFDFD3C0</v>
      </c>
      <c r="D1302" t="s">
        <v>133</v>
      </c>
      <c r="E1302">
        <v>44</v>
      </c>
      <c r="H1302">
        <v>131</v>
      </c>
      <c r="I1302" t="s">
        <v>134</v>
      </c>
      <c r="J1302" t="s">
        <v>135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"14:50:11.594"</f>
        <v>14:50:11.594</v>
      </c>
      <c r="T1302" t="str">
        <f>"14:50:11.194"</f>
        <v>14:50:11.194</v>
      </c>
      <c r="U1302" t="str">
        <f t="shared" si="62"/>
        <v>A0F928</v>
      </c>
      <c r="V1302">
        <v>0</v>
      </c>
      <c r="W1302">
        <v>0</v>
      </c>
      <c r="X1302">
        <v>2</v>
      </c>
      <c r="Z1302">
        <v>0</v>
      </c>
      <c r="AA1302">
        <v>9</v>
      </c>
      <c r="AB1302">
        <v>3</v>
      </c>
      <c r="AC1302">
        <v>0</v>
      </c>
      <c r="AD1302">
        <v>10</v>
      </c>
      <c r="AE1302">
        <v>0</v>
      </c>
      <c r="AF1302">
        <v>0</v>
      </c>
      <c r="AG1302">
        <v>2</v>
      </c>
      <c r="AH1302">
        <v>1</v>
      </c>
      <c r="AI1302" t="s">
        <v>731</v>
      </c>
      <c r="AJ1302">
        <v>35.787964000000002</v>
      </c>
      <c r="AK1302" t="s">
        <v>732</v>
      </c>
      <c r="AL1302">
        <v>-84.019081999999997</v>
      </c>
      <c r="AM1302">
        <v>25</v>
      </c>
      <c r="AN1302">
        <v>1350</v>
      </c>
      <c r="AO1302" t="s">
        <v>118</v>
      </c>
      <c r="AP1302">
        <v>-100</v>
      </c>
      <c r="AQ1302">
        <v>-93</v>
      </c>
      <c r="AR1302">
        <v>960</v>
      </c>
      <c r="AZ1302">
        <v>300</v>
      </c>
      <c r="BA1302">
        <v>1</v>
      </c>
      <c r="BB1302" t="str">
        <f t="shared" si="63"/>
        <v xml:space="preserve">N162AM  </v>
      </c>
      <c r="BC1302">
        <v>1</v>
      </c>
      <c r="BE1302">
        <v>0</v>
      </c>
      <c r="BF1302">
        <v>0</v>
      </c>
      <c r="BG1302">
        <v>0</v>
      </c>
      <c r="BH1302">
        <v>1625</v>
      </c>
      <c r="BI1302">
        <v>1</v>
      </c>
      <c r="BJ1302">
        <v>1</v>
      </c>
      <c r="BK1302">
        <v>1</v>
      </c>
      <c r="BL1302">
        <v>0</v>
      </c>
      <c r="BO1302">
        <v>0</v>
      </c>
      <c r="BP1302">
        <v>0</v>
      </c>
      <c r="BW1302" t="str">
        <f>"14:50:11.595"</f>
        <v>14:50:11.595</v>
      </c>
      <c r="CJ1302">
        <v>2</v>
      </c>
      <c r="CK1302">
        <v>2</v>
      </c>
      <c r="CL1302">
        <v>0</v>
      </c>
      <c r="CM1302">
        <v>2</v>
      </c>
      <c r="CN1302">
        <v>0</v>
      </c>
      <c r="CO1302">
        <v>5</v>
      </c>
      <c r="CP1302" t="s">
        <v>119</v>
      </c>
      <c r="CQ1302">
        <v>232</v>
      </c>
      <c r="CR1302">
        <v>2</v>
      </c>
      <c r="CW1302">
        <v>6718407</v>
      </c>
      <c r="CY1302">
        <v>1</v>
      </c>
      <c r="CZ1302">
        <v>0</v>
      </c>
      <c r="DA1302">
        <v>0</v>
      </c>
      <c r="DB1302">
        <v>0</v>
      </c>
      <c r="DC1302">
        <v>0</v>
      </c>
      <c r="DD1302">
        <v>1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"12/16/2021 14:50:11.835"</f>
        <v>12/16/2021 14:50:11.835</v>
      </c>
      <c r="C1303" t="str">
        <f t="shared" si="61"/>
        <v>FFDFD3C0</v>
      </c>
      <c r="D1303" t="s">
        <v>124</v>
      </c>
      <c r="E1303">
        <v>10</v>
      </c>
      <c r="F1303">
        <v>1010</v>
      </c>
      <c r="G1303" t="s">
        <v>130</v>
      </c>
      <c r="J1303" t="s">
        <v>125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"14:50:11.594"</f>
        <v>14:50:11.594</v>
      </c>
      <c r="T1303" t="str">
        <f>"14:50:11.194"</f>
        <v>14:50:11.194</v>
      </c>
      <c r="U1303" t="str">
        <f t="shared" si="62"/>
        <v>A0F928</v>
      </c>
      <c r="V1303">
        <v>0</v>
      </c>
      <c r="W1303">
        <v>0</v>
      </c>
      <c r="X1303">
        <v>2</v>
      </c>
      <c r="Z1303">
        <v>0</v>
      </c>
      <c r="AA1303">
        <v>9</v>
      </c>
      <c r="AB1303">
        <v>3</v>
      </c>
      <c r="AC1303">
        <v>0</v>
      </c>
      <c r="AD1303">
        <v>10</v>
      </c>
      <c r="AE1303">
        <v>0</v>
      </c>
      <c r="AF1303">
        <v>0</v>
      </c>
      <c r="AG1303">
        <v>2</v>
      </c>
      <c r="AH1303">
        <v>1</v>
      </c>
      <c r="AI1303" t="s">
        <v>731</v>
      </c>
      <c r="AJ1303">
        <v>35.787964000000002</v>
      </c>
      <c r="AK1303" t="s">
        <v>732</v>
      </c>
      <c r="AL1303">
        <v>-84.019081999999997</v>
      </c>
      <c r="AM1303">
        <v>25</v>
      </c>
      <c r="AN1303">
        <v>1350</v>
      </c>
      <c r="AO1303" t="s">
        <v>118</v>
      </c>
      <c r="AP1303">
        <v>-100</v>
      </c>
      <c r="AQ1303">
        <v>-93</v>
      </c>
      <c r="AR1303">
        <v>960</v>
      </c>
      <c r="AZ1303">
        <v>300</v>
      </c>
      <c r="BA1303">
        <v>1</v>
      </c>
      <c r="BB1303" t="str">
        <f t="shared" si="63"/>
        <v xml:space="preserve">N162AM  </v>
      </c>
      <c r="BC1303">
        <v>1</v>
      </c>
      <c r="BE1303">
        <v>0</v>
      </c>
      <c r="BF1303">
        <v>0</v>
      </c>
      <c r="BG1303">
        <v>0</v>
      </c>
      <c r="BH1303">
        <v>1625</v>
      </c>
      <c r="BI1303">
        <v>1</v>
      </c>
      <c r="BJ1303">
        <v>1</v>
      </c>
      <c r="BK1303">
        <v>1</v>
      </c>
      <c r="BL1303">
        <v>0</v>
      </c>
      <c r="BO1303">
        <v>0</v>
      </c>
      <c r="BP1303">
        <v>0</v>
      </c>
      <c r="BW1303" t="str">
        <f>"14:50:11.595"</f>
        <v>14:50:11.595</v>
      </c>
      <c r="CJ1303">
        <v>2</v>
      </c>
      <c r="CK1303">
        <v>2</v>
      </c>
      <c r="CL1303">
        <v>0</v>
      </c>
      <c r="CM1303">
        <v>2</v>
      </c>
      <c r="CN1303">
        <v>0</v>
      </c>
      <c r="CO1303">
        <v>5</v>
      </c>
      <c r="CP1303" t="s">
        <v>119</v>
      </c>
      <c r="CQ1303">
        <v>232</v>
      </c>
      <c r="CR1303">
        <v>2</v>
      </c>
      <c r="CW1303">
        <v>6718407</v>
      </c>
      <c r="CY1303">
        <v>1</v>
      </c>
      <c r="CZ1303">
        <v>0</v>
      </c>
      <c r="DA1303">
        <v>1</v>
      </c>
      <c r="DB1303">
        <v>0</v>
      </c>
      <c r="DC1303">
        <v>0</v>
      </c>
      <c r="DD1303">
        <v>1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"12/16/2021 14:50:11.835"</f>
        <v>12/16/2021 14:50:11.835</v>
      </c>
      <c r="C1304" t="str">
        <f t="shared" si="61"/>
        <v>FFDFD3C0</v>
      </c>
      <c r="D1304" t="s">
        <v>113</v>
      </c>
      <c r="E1304">
        <v>8</v>
      </c>
      <c r="H1304">
        <v>176</v>
      </c>
      <c r="I1304" t="s">
        <v>114</v>
      </c>
      <c r="J1304" t="s">
        <v>115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"14:50:11.594"</f>
        <v>14:50:11.594</v>
      </c>
      <c r="T1304" t="str">
        <f>"14:50:11.194"</f>
        <v>14:50:11.194</v>
      </c>
      <c r="U1304" t="str">
        <f t="shared" si="62"/>
        <v>A0F928</v>
      </c>
      <c r="V1304">
        <v>0</v>
      </c>
      <c r="W1304">
        <v>0</v>
      </c>
      <c r="X1304">
        <v>2</v>
      </c>
      <c r="Z1304">
        <v>0</v>
      </c>
      <c r="AA1304">
        <v>9</v>
      </c>
      <c r="AB1304">
        <v>3</v>
      </c>
      <c r="AC1304">
        <v>0</v>
      </c>
      <c r="AD1304">
        <v>10</v>
      </c>
      <c r="AE1304">
        <v>0</v>
      </c>
      <c r="AF1304">
        <v>0</v>
      </c>
      <c r="AG1304">
        <v>2</v>
      </c>
      <c r="AH1304">
        <v>1</v>
      </c>
      <c r="AI1304" t="s">
        <v>731</v>
      </c>
      <c r="AJ1304">
        <v>35.787964000000002</v>
      </c>
      <c r="AK1304" t="s">
        <v>732</v>
      </c>
      <c r="AL1304">
        <v>-84.019081999999997</v>
      </c>
      <c r="AM1304">
        <v>25</v>
      </c>
      <c r="AN1304">
        <v>1350</v>
      </c>
      <c r="AO1304" t="s">
        <v>118</v>
      </c>
      <c r="AP1304">
        <v>-100</v>
      </c>
      <c r="AQ1304">
        <v>-93</v>
      </c>
      <c r="AR1304">
        <v>960</v>
      </c>
      <c r="AZ1304">
        <v>300</v>
      </c>
      <c r="BA1304">
        <v>1</v>
      </c>
      <c r="BB1304" t="str">
        <f t="shared" si="63"/>
        <v xml:space="preserve">N162AM  </v>
      </c>
      <c r="BC1304">
        <v>1</v>
      </c>
      <c r="BE1304">
        <v>0</v>
      </c>
      <c r="BF1304">
        <v>0</v>
      </c>
      <c r="BG1304">
        <v>0</v>
      </c>
      <c r="BH1304">
        <v>1625</v>
      </c>
      <c r="BI1304">
        <v>1</v>
      </c>
      <c r="BJ1304">
        <v>1</v>
      </c>
      <c r="BK1304">
        <v>1</v>
      </c>
      <c r="BL1304">
        <v>0</v>
      </c>
      <c r="BO1304">
        <v>0</v>
      </c>
      <c r="BP1304">
        <v>0</v>
      </c>
      <c r="BW1304" t="str">
        <f>"14:50:11.595"</f>
        <v>14:50:11.595</v>
      </c>
      <c r="CJ1304">
        <v>2</v>
      </c>
      <c r="CK1304">
        <v>2</v>
      </c>
      <c r="CL1304">
        <v>0</v>
      </c>
      <c r="CM1304">
        <v>2</v>
      </c>
      <c r="CN1304">
        <v>0</v>
      </c>
      <c r="CO1304">
        <v>5</v>
      </c>
      <c r="CP1304" t="s">
        <v>119</v>
      </c>
      <c r="CQ1304">
        <v>232</v>
      </c>
      <c r="CR1304">
        <v>2</v>
      </c>
      <c r="CW1304">
        <v>6718407</v>
      </c>
      <c r="CY1304">
        <v>1</v>
      </c>
      <c r="CZ1304">
        <v>0</v>
      </c>
      <c r="DA1304">
        <v>1</v>
      </c>
      <c r="DB1304">
        <v>0</v>
      </c>
      <c r="DC1304">
        <v>0</v>
      </c>
      <c r="DD1304">
        <v>1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"12/16/2021 14:50:11.867"</f>
        <v>12/16/2021 14:50:11.867</v>
      </c>
      <c r="C1305" t="str">
        <f t="shared" si="61"/>
        <v>FFDFD3C0</v>
      </c>
      <c r="D1305" t="s">
        <v>124</v>
      </c>
      <c r="E1305">
        <v>5</v>
      </c>
      <c r="F1305">
        <v>1005</v>
      </c>
      <c r="G1305" t="s">
        <v>114</v>
      </c>
      <c r="J1305" t="s">
        <v>125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"14:50:11.594"</f>
        <v>14:50:11.594</v>
      </c>
      <c r="T1305" t="str">
        <f>"14:50:11.194"</f>
        <v>14:50:11.194</v>
      </c>
      <c r="U1305" t="str">
        <f t="shared" si="62"/>
        <v>A0F928</v>
      </c>
      <c r="V1305">
        <v>0</v>
      </c>
      <c r="W1305">
        <v>0</v>
      </c>
      <c r="X1305">
        <v>2</v>
      </c>
      <c r="Z1305">
        <v>0</v>
      </c>
      <c r="AA1305">
        <v>9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2</v>
      </c>
      <c r="AH1305">
        <v>1</v>
      </c>
      <c r="AI1305" t="s">
        <v>731</v>
      </c>
      <c r="AJ1305">
        <v>35.787964000000002</v>
      </c>
      <c r="AK1305" t="s">
        <v>732</v>
      </c>
      <c r="AL1305">
        <v>-84.019081999999997</v>
      </c>
      <c r="AM1305">
        <v>25</v>
      </c>
      <c r="AN1305">
        <v>1350</v>
      </c>
      <c r="AO1305" t="s">
        <v>118</v>
      </c>
      <c r="AP1305">
        <v>-100</v>
      </c>
      <c r="AQ1305">
        <v>-93</v>
      </c>
      <c r="AR1305">
        <v>960</v>
      </c>
      <c r="AZ1305">
        <v>300</v>
      </c>
      <c r="BA1305">
        <v>1</v>
      </c>
      <c r="BB1305" t="str">
        <f t="shared" si="63"/>
        <v xml:space="preserve">N162AM  </v>
      </c>
      <c r="BC1305">
        <v>1</v>
      </c>
      <c r="BE1305">
        <v>0</v>
      </c>
      <c r="BF1305">
        <v>0</v>
      </c>
      <c r="BG1305">
        <v>0</v>
      </c>
      <c r="BH1305">
        <v>1625</v>
      </c>
      <c r="BI1305">
        <v>1</v>
      </c>
      <c r="BJ1305">
        <v>1</v>
      </c>
      <c r="BK1305">
        <v>1</v>
      </c>
      <c r="BL1305">
        <v>0</v>
      </c>
      <c r="BO1305">
        <v>0</v>
      </c>
      <c r="BP1305">
        <v>0</v>
      </c>
      <c r="BW1305" t="str">
        <f>"14:50:11.595"</f>
        <v>14:50:11.595</v>
      </c>
      <c r="CJ1305">
        <v>3</v>
      </c>
      <c r="CK1305">
        <v>2</v>
      </c>
      <c r="CL1305">
        <v>0</v>
      </c>
      <c r="CM1305">
        <v>2</v>
      </c>
      <c r="CN1305">
        <v>0</v>
      </c>
      <c r="CO1305">
        <v>5</v>
      </c>
      <c r="CP1305" t="s">
        <v>119</v>
      </c>
      <c r="CQ1305">
        <v>232</v>
      </c>
      <c r="CR1305">
        <v>2</v>
      </c>
      <c r="CW1305">
        <v>6718407</v>
      </c>
      <c r="CY1305">
        <v>1</v>
      </c>
      <c r="CZ1305">
        <v>0</v>
      </c>
      <c r="DA1305">
        <v>1</v>
      </c>
      <c r="DB1305">
        <v>0</v>
      </c>
      <c r="DC1305">
        <v>0</v>
      </c>
      <c r="DD1305">
        <v>1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"12/16/2021 14:50:12.710"</f>
        <v>12/16/2021 14:50:12.710</v>
      </c>
      <c r="C1306" t="str">
        <f t="shared" si="61"/>
        <v>FFDFD3C0</v>
      </c>
      <c r="D1306" t="s">
        <v>124</v>
      </c>
      <c r="E1306">
        <v>5</v>
      </c>
      <c r="F1306">
        <v>1005</v>
      </c>
      <c r="G1306" t="s">
        <v>114</v>
      </c>
      <c r="J1306" t="s">
        <v>125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"14:50:12.523"</f>
        <v>14:50:12.523</v>
      </c>
      <c r="T1306" t="str">
        <f>"14:50:12.123"</f>
        <v>14:50:12.123</v>
      </c>
      <c r="U1306" t="str">
        <f t="shared" si="62"/>
        <v>A0F928</v>
      </c>
      <c r="V1306">
        <v>0</v>
      </c>
      <c r="W1306">
        <v>0</v>
      </c>
      <c r="X1306">
        <v>2</v>
      </c>
      <c r="Z1306">
        <v>0</v>
      </c>
      <c r="AA1306">
        <v>9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2</v>
      </c>
      <c r="AH1306">
        <v>1</v>
      </c>
      <c r="AI1306" t="s">
        <v>733</v>
      </c>
      <c r="AJ1306">
        <v>35.787599</v>
      </c>
      <c r="AK1306" t="s">
        <v>734</v>
      </c>
      <c r="AL1306">
        <v>-84.019638999999998</v>
      </c>
      <c r="AM1306">
        <v>25</v>
      </c>
      <c r="AN1306">
        <v>1350</v>
      </c>
      <c r="AO1306" t="s">
        <v>118</v>
      </c>
      <c r="AP1306">
        <v>-104</v>
      </c>
      <c r="AQ1306">
        <v>-89</v>
      </c>
      <c r="AR1306">
        <v>1024</v>
      </c>
      <c r="AZ1306">
        <v>300</v>
      </c>
      <c r="BA1306">
        <v>1</v>
      </c>
      <c r="BB1306" t="str">
        <f t="shared" si="63"/>
        <v xml:space="preserve">N162AM  </v>
      </c>
      <c r="BC1306">
        <v>1</v>
      </c>
      <c r="BE1306">
        <v>0</v>
      </c>
      <c r="BF1306">
        <v>0</v>
      </c>
      <c r="BG1306">
        <v>0</v>
      </c>
      <c r="BH1306">
        <v>1625</v>
      </c>
      <c r="BI1306">
        <v>1</v>
      </c>
      <c r="BJ1306">
        <v>1</v>
      </c>
      <c r="BK1306">
        <v>1</v>
      </c>
      <c r="BL1306">
        <v>0</v>
      </c>
      <c r="BO1306">
        <v>0</v>
      </c>
      <c r="BP1306">
        <v>0</v>
      </c>
      <c r="BW1306" t="str">
        <f>"14:50:12.529"</f>
        <v>14:50:12.529</v>
      </c>
      <c r="CJ1306">
        <v>3</v>
      </c>
      <c r="CK1306">
        <v>2</v>
      </c>
      <c r="CL1306">
        <v>0</v>
      </c>
      <c r="CM1306">
        <v>2</v>
      </c>
      <c r="CN1306">
        <v>0</v>
      </c>
      <c r="CO1306">
        <v>5</v>
      </c>
      <c r="CP1306" t="s">
        <v>119</v>
      </c>
      <c r="CQ1306">
        <v>232</v>
      </c>
      <c r="CR1306">
        <v>2</v>
      </c>
      <c r="CW1306">
        <v>6719831</v>
      </c>
      <c r="CY1306">
        <v>1</v>
      </c>
      <c r="CZ1306">
        <v>0</v>
      </c>
      <c r="DA1306">
        <v>0</v>
      </c>
      <c r="DB1306">
        <v>0</v>
      </c>
      <c r="DC1306">
        <v>0</v>
      </c>
      <c r="DD1306">
        <v>1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"12/16/2021 14:50:12.726"</f>
        <v>12/16/2021 14:50:12.726</v>
      </c>
      <c r="C1307" t="str">
        <f t="shared" si="61"/>
        <v>FFDFD3C0</v>
      </c>
      <c r="D1307" t="s">
        <v>133</v>
      </c>
      <c r="E1307">
        <v>44</v>
      </c>
      <c r="H1307">
        <v>131</v>
      </c>
      <c r="I1307" t="s">
        <v>134</v>
      </c>
      <c r="J1307" t="s">
        <v>135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"14:50:12.523"</f>
        <v>14:50:12.523</v>
      </c>
      <c r="T1307" t="str">
        <f>"14:50:12.123"</f>
        <v>14:50:12.123</v>
      </c>
      <c r="U1307" t="str">
        <f t="shared" si="62"/>
        <v>A0F928</v>
      </c>
      <c r="V1307">
        <v>0</v>
      </c>
      <c r="W1307">
        <v>0</v>
      </c>
      <c r="X1307">
        <v>2</v>
      </c>
      <c r="Z1307">
        <v>0</v>
      </c>
      <c r="AA1307">
        <v>9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2</v>
      </c>
      <c r="AH1307">
        <v>1</v>
      </c>
      <c r="AI1307" t="s">
        <v>733</v>
      </c>
      <c r="AJ1307">
        <v>35.787599</v>
      </c>
      <c r="AK1307" t="s">
        <v>734</v>
      </c>
      <c r="AL1307">
        <v>-84.019638999999998</v>
      </c>
      <c r="AM1307">
        <v>25</v>
      </c>
      <c r="AN1307">
        <v>1350</v>
      </c>
      <c r="AO1307" t="s">
        <v>118</v>
      </c>
      <c r="AP1307">
        <v>-104</v>
      </c>
      <c r="AQ1307">
        <v>-89</v>
      </c>
      <c r="AR1307">
        <v>1024</v>
      </c>
      <c r="AZ1307">
        <v>300</v>
      </c>
      <c r="BA1307">
        <v>1</v>
      </c>
      <c r="BB1307" t="str">
        <f t="shared" si="63"/>
        <v xml:space="preserve">N162AM  </v>
      </c>
      <c r="BC1307">
        <v>1</v>
      </c>
      <c r="BE1307">
        <v>0</v>
      </c>
      <c r="BF1307">
        <v>0</v>
      </c>
      <c r="BG1307">
        <v>0</v>
      </c>
      <c r="BH1307">
        <v>1625</v>
      </c>
      <c r="BI1307">
        <v>1</v>
      </c>
      <c r="BJ1307">
        <v>1</v>
      </c>
      <c r="BK1307">
        <v>1</v>
      </c>
      <c r="BL1307">
        <v>0</v>
      </c>
      <c r="BO1307">
        <v>0</v>
      </c>
      <c r="BP1307">
        <v>0</v>
      </c>
      <c r="BW1307" t="str">
        <f>"14:50:12.529"</f>
        <v>14:50:12.529</v>
      </c>
      <c r="CJ1307">
        <v>3</v>
      </c>
      <c r="CK1307">
        <v>2</v>
      </c>
      <c r="CL1307">
        <v>0</v>
      </c>
      <c r="CM1307">
        <v>2</v>
      </c>
      <c r="CN1307">
        <v>0</v>
      </c>
      <c r="CO1307">
        <v>5</v>
      </c>
      <c r="CP1307" t="s">
        <v>119</v>
      </c>
      <c r="CQ1307">
        <v>232</v>
      </c>
      <c r="CR1307">
        <v>2</v>
      </c>
      <c r="CW1307">
        <v>6719831</v>
      </c>
      <c r="CY1307">
        <v>1</v>
      </c>
      <c r="CZ1307">
        <v>0</v>
      </c>
      <c r="DA1307">
        <v>1</v>
      </c>
      <c r="DB1307">
        <v>0</v>
      </c>
      <c r="DC1307">
        <v>0</v>
      </c>
      <c r="DD1307">
        <v>1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"12/16/2021 14:50:12.757"</f>
        <v>12/16/2021 14:50:12.757</v>
      </c>
      <c r="C1308" t="str">
        <f t="shared" si="61"/>
        <v>FFDFD3C0</v>
      </c>
      <c r="D1308" t="s">
        <v>124</v>
      </c>
      <c r="E1308">
        <v>10</v>
      </c>
      <c r="F1308">
        <v>1010</v>
      </c>
      <c r="G1308" t="s">
        <v>130</v>
      </c>
      <c r="J1308" t="s">
        <v>125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"14:50:12.523"</f>
        <v>14:50:12.523</v>
      </c>
      <c r="T1308" t="str">
        <f>"14:50:12.123"</f>
        <v>14:50:12.123</v>
      </c>
      <c r="U1308" t="str">
        <f t="shared" si="62"/>
        <v>A0F928</v>
      </c>
      <c r="V1308">
        <v>0</v>
      </c>
      <c r="W1308">
        <v>0</v>
      </c>
      <c r="X1308">
        <v>2</v>
      </c>
      <c r="Z1308">
        <v>0</v>
      </c>
      <c r="AA1308">
        <v>9</v>
      </c>
      <c r="AB1308">
        <v>3</v>
      </c>
      <c r="AC1308">
        <v>0</v>
      </c>
      <c r="AD1308">
        <v>10</v>
      </c>
      <c r="AE1308">
        <v>0</v>
      </c>
      <c r="AF1308">
        <v>0</v>
      </c>
      <c r="AG1308">
        <v>2</v>
      </c>
      <c r="AH1308">
        <v>1</v>
      </c>
      <c r="AI1308" t="s">
        <v>733</v>
      </c>
      <c r="AJ1308">
        <v>35.787599</v>
      </c>
      <c r="AK1308" t="s">
        <v>734</v>
      </c>
      <c r="AL1308">
        <v>-84.019638999999998</v>
      </c>
      <c r="AM1308">
        <v>25</v>
      </c>
      <c r="AN1308">
        <v>1350</v>
      </c>
      <c r="AO1308" t="s">
        <v>118</v>
      </c>
      <c r="AP1308">
        <v>-104</v>
      </c>
      <c r="AQ1308">
        <v>-89</v>
      </c>
      <c r="AR1308">
        <v>1024</v>
      </c>
      <c r="AZ1308">
        <v>300</v>
      </c>
      <c r="BA1308">
        <v>1</v>
      </c>
      <c r="BB1308" t="str">
        <f t="shared" si="63"/>
        <v xml:space="preserve">N162AM  </v>
      </c>
      <c r="BC1308">
        <v>1</v>
      </c>
      <c r="BE1308">
        <v>0</v>
      </c>
      <c r="BF1308">
        <v>0</v>
      </c>
      <c r="BG1308">
        <v>0</v>
      </c>
      <c r="BH1308">
        <v>1625</v>
      </c>
      <c r="BI1308">
        <v>1</v>
      </c>
      <c r="BJ1308">
        <v>1</v>
      </c>
      <c r="BK1308">
        <v>1</v>
      </c>
      <c r="BL1308">
        <v>0</v>
      </c>
      <c r="BO1308">
        <v>0</v>
      </c>
      <c r="BP1308">
        <v>0</v>
      </c>
      <c r="BW1308" t="str">
        <f>"14:50:12.529"</f>
        <v>14:50:12.529</v>
      </c>
      <c r="CJ1308">
        <v>2</v>
      </c>
      <c r="CK1308">
        <v>2</v>
      </c>
      <c r="CL1308">
        <v>0</v>
      </c>
      <c r="CM1308">
        <v>2</v>
      </c>
      <c r="CN1308">
        <v>0</v>
      </c>
      <c r="CO1308">
        <v>5</v>
      </c>
      <c r="CP1308" t="s">
        <v>119</v>
      </c>
      <c r="CQ1308">
        <v>232</v>
      </c>
      <c r="CR1308">
        <v>2</v>
      </c>
      <c r="CW1308">
        <v>6719831</v>
      </c>
      <c r="CY1308">
        <v>1</v>
      </c>
      <c r="CZ1308">
        <v>0</v>
      </c>
      <c r="DA1308">
        <v>1</v>
      </c>
      <c r="DB1308">
        <v>0</v>
      </c>
      <c r="DC1308">
        <v>0</v>
      </c>
      <c r="DD1308">
        <v>1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>"12/16/2021 14:50:12.757"</f>
        <v>12/16/2021 14:50:12.757</v>
      </c>
      <c r="C1309" t="str">
        <f t="shared" si="61"/>
        <v>FFDFD3C0</v>
      </c>
      <c r="D1309" t="s">
        <v>113</v>
      </c>
      <c r="E1309">
        <v>8</v>
      </c>
      <c r="H1309">
        <v>176</v>
      </c>
      <c r="I1309" t="s">
        <v>114</v>
      </c>
      <c r="J1309" t="s">
        <v>115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"14:50:12.523"</f>
        <v>14:50:12.523</v>
      </c>
      <c r="T1309" t="str">
        <f>"14:50:12.123"</f>
        <v>14:50:12.123</v>
      </c>
      <c r="U1309" t="str">
        <f t="shared" si="62"/>
        <v>A0F928</v>
      </c>
      <c r="V1309">
        <v>0</v>
      </c>
      <c r="W1309">
        <v>0</v>
      </c>
      <c r="X1309">
        <v>2</v>
      </c>
      <c r="Z1309">
        <v>0</v>
      </c>
      <c r="AA1309">
        <v>9</v>
      </c>
      <c r="AB1309">
        <v>3</v>
      </c>
      <c r="AC1309">
        <v>0</v>
      </c>
      <c r="AD1309">
        <v>10</v>
      </c>
      <c r="AE1309">
        <v>0</v>
      </c>
      <c r="AF1309">
        <v>3</v>
      </c>
      <c r="AG1309">
        <v>2</v>
      </c>
      <c r="AH1309">
        <v>1</v>
      </c>
      <c r="AI1309" t="s">
        <v>733</v>
      </c>
      <c r="AJ1309">
        <v>35.787599</v>
      </c>
      <c r="AK1309" t="s">
        <v>734</v>
      </c>
      <c r="AL1309">
        <v>-84.019638999999998</v>
      </c>
      <c r="AM1309">
        <v>25</v>
      </c>
      <c r="AN1309">
        <v>1350</v>
      </c>
      <c r="AO1309" t="s">
        <v>118</v>
      </c>
      <c r="AP1309">
        <v>-104</v>
      </c>
      <c r="AQ1309">
        <v>-89</v>
      </c>
      <c r="AR1309">
        <v>1024</v>
      </c>
      <c r="AZ1309">
        <v>300</v>
      </c>
      <c r="BA1309">
        <v>1</v>
      </c>
      <c r="BB1309" t="str">
        <f t="shared" si="63"/>
        <v xml:space="preserve">N162AM  </v>
      </c>
      <c r="BC1309">
        <v>1</v>
      </c>
      <c r="BE1309">
        <v>0</v>
      </c>
      <c r="BF1309">
        <v>0</v>
      </c>
      <c r="BG1309">
        <v>0</v>
      </c>
      <c r="BH1309">
        <v>1625</v>
      </c>
      <c r="BI1309">
        <v>1</v>
      </c>
      <c r="BJ1309">
        <v>1</v>
      </c>
      <c r="BK1309">
        <v>1</v>
      </c>
      <c r="BL1309">
        <v>0</v>
      </c>
      <c r="BO1309">
        <v>0</v>
      </c>
      <c r="BP1309">
        <v>0</v>
      </c>
      <c r="BW1309" t="str">
        <f>"14:50:12.529"</f>
        <v>14:50:12.529</v>
      </c>
      <c r="CJ1309">
        <v>3</v>
      </c>
      <c r="CK1309">
        <v>2</v>
      </c>
      <c r="CL1309">
        <v>0</v>
      </c>
      <c r="CM1309">
        <v>2</v>
      </c>
      <c r="CN1309">
        <v>0</v>
      </c>
      <c r="CO1309">
        <v>5</v>
      </c>
      <c r="CP1309" t="s">
        <v>119</v>
      </c>
      <c r="CQ1309">
        <v>232</v>
      </c>
      <c r="CR1309">
        <v>2</v>
      </c>
      <c r="CW1309">
        <v>6719831</v>
      </c>
      <c r="CY1309">
        <v>1</v>
      </c>
      <c r="CZ1309">
        <v>0</v>
      </c>
      <c r="DA1309">
        <v>1</v>
      </c>
      <c r="DB1309">
        <v>0</v>
      </c>
      <c r="DC1309">
        <v>0</v>
      </c>
      <c r="DD1309">
        <v>1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>"12/16/2021 14:50:13.789"</f>
        <v>12/16/2021 14:50:13.789</v>
      </c>
      <c r="C1310" t="str">
        <f t="shared" ref="C1310:C1317" si="64">"FFDFD3C0"</f>
        <v>FFDFD3C0</v>
      </c>
      <c r="D1310" t="s">
        <v>133</v>
      </c>
      <c r="E1310">
        <v>44</v>
      </c>
      <c r="H1310">
        <v>131</v>
      </c>
      <c r="I1310" t="s">
        <v>134</v>
      </c>
      <c r="J1310" t="s">
        <v>135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"14:50:13.602"</f>
        <v>14:50:13.602</v>
      </c>
      <c r="T1310" t="str">
        <f>"14:50:13.202"</f>
        <v>14:50:13.202</v>
      </c>
      <c r="U1310" t="str">
        <f t="shared" si="62"/>
        <v>A0F928</v>
      </c>
      <c r="V1310">
        <v>0</v>
      </c>
      <c r="W1310">
        <v>0</v>
      </c>
      <c r="X1310">
        <v>2</v>
      </c>
      <c r="Z1310">
        <v>0</v>
      </c>
      <c r="AA1310">
        <v>9</v>
      </c>
      <c r="AB1310">
        <v>3</v>
      </c>
      <c r="AC1310">
        <v>0</v>
      </c>
      <c r="AD1310">
        <v>10</v>
      </c>
      <c r="AE1310">
        <v>0</v>
      </c>
      <c r="AF1310">
        <v>3</v>
      </c>
      <c r="AG1310">
        <v>2</v>
      </c>
      <c r="AH1310">
        <v>1</v>
      </c>
      <c r="AI1310" t="s">
        <v>281</v>
      </c>
      <c r="AJ1310">
        <v>35.787191</v>
      </c>
      <c r="AK1310" t="s">
        <v>735</v>
      </c>
      <c r="AL1310">
        <v>-84.020347999999998</v>
      </c>
      <c r="AM1310">
        <v>25</v>
      </c>
      <c r="AN1310">
        <v>1375</v>
      </c>
      <c r="AO1310" t="s">
        <v>118</v>
      </c>
      <c r="AP1310">
        <v>-108</v>
      </c>
      <c r="AQ1310">
        <v>-84</v>
      </c>
      <c r="AR1310">
        <v>1088</v>
      </c>
      <c r="AZ1310">
        <v>300</v>
      </c>
      <c r="BA1310">
        <v>1</v>
      </c>
      <c r="BB1310" t="str">
        <f t="shared" si="63"/>
        <v xml:space="preserve">N162AM  </v>
      </c>
      <c r="BC1310">
        <v>1</v>
      </c>
      <c r="BE1310">
        <v>0</v>
      </c>
      <c r="BF1310">
        <v>0</v>
      </c>
      <c r="BG1310">
        <v>0</v>
      </c>
      <c r="BH1310">
        <v>1625</v>
      </c>
      <c r="BI1310">
        <v>1</v>
      </c>
      <c r="BJ1310">
        <v>1</v>
      </c>
      <c r="BK1310">
        <v>1</v>
      </c>
      <c r="BL1310">
        <v>0</v>
      </c>
      <c r="BO1310">
        <v>0</v>
      </c>
      <c r="BP1310">
        <v>0</v>
      </c>
      <c r="BW1310" t="str">
        <f>"14:50:13.609"</f>
        <v>14:50:13.609</v>
      </c>
      <c r="CJ1310">
        <v>3</v>
      </c>
      <c r="CK1310">
        <v>2</v>
      </c>
      <c r="CL1310">
        <v>0</v>
      </c>
      <c r="CM1310">
        <v>2</v>
      </c>
      <c r="CN1310">
        <v>0</v>
      </c>
      <c r="CO1310">
        <v>4</v>
      </c>
      <c r="CP1310" t="s">
        <v>119</v>
      </c>
      <c r="CQ1310">
        <v>232</v>
      </c>
      <c r="CR1310">
        <v>1</v>
      </c>
      <c r="CW1310">
        <v>15522151</v>
      </c>
      <c r="CY1310">
        <v>1</v>
      </c>
      <c r="CZ1310">
        <v>0</v>
      </c>
      <c r="DA1310">
        <v>0</v>
      </c>
      <c r="DB1310">
        <v>0</v>
      </c>
      <c r="DC1310">
        <v>0</v>
      </c>
      <c r="DD1310">
        <v>1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>"12/16/2021 14:50:13.789"</f>
        <v>12/16/2021 14:50:13.789</v>
      </c>
      <c r="C1311" t="str">
        <f t="shared" si="64"/>
        <v>FFDFD3C0</v>
      </c>
      <c r="D1311" t="s">
        <v>124</v>
      </c>
      <c r="E1311">
        <v>10</v>
      </c>
      <c r="F1311">
        <v>1010</v>
      </c>
      <c r="G1311" t="s">
        <v>130</v>
      </c>
      <c r="J1311" t="s">
        <v>125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"14:50:13.602"</f>
        <v>14:50:13.602</v>
      </c>
      <c r="T1311" t="str">
        <f>"14:50:13.202"</f>
        <v>14:50:13.202</v>
      </c>
      <c r="U1311" t="str">
        <f t="shared" si="62"/>
        <v>A0F928</v>
      </c>
      <c r="V1311">
        <v>0</v>
      </c>
      <c r="W1311">
        <v>0</v>
      </c>
      <c r="X1311">
        <v>2</v>
      </c>
      <c r="Z1311">
        <v>0</v>
      </c>
      <c r="AA1311">
        <v>9</v>
      </c>
      <c r="AB1311">
        <v>3</v>
      </c>
      <c r="AC1311">
        <v>0</v>
      </c>
      <c r="AD1311">
        <v>10</v>
      </c>
      <c r="AE1311">
        <v>0</v>
      </c>
      <c r="AF1311">
        <v>0</v>
      </c>
      <c r="AG1311">
        <v>2</v>
      </c>
      <c r="AH1311">
        <v>1</v>
      </c>
      <c r="AI1311" t="s">
        <v>281</v>
      </c>
      <c r="AJ1311">
        <v>35.787191</v>
      </c>
      <c r="AK1311" t="s">
        <v>735</v>
      </c>
      <c r="AL1311">
        <v>-84.020347999999998</v>
      </c>
      <c r="AM1311">
        <v>25</v>
      </c>
      <c r="AN1311">
        <v>1375</v>
      </c>
      <c r="AO1311" t="s">
        <v>118</v>
      </c>
      <c r="AP1311">
        <v>-108</v>
      </c>
      <c r="AQ1311">
        <v>-84</v>
      </c>
      <c r="AR1311">
        <v>1088</v>
      </c>
      <c r="AZ1311">
        <v>300</v>
      </c>
      <c r="BA1311">
        <v>1</v>
      </c>
      <c r="BB1311" t="str">
        <f t="shared" si="63"/>
        <v xml:space="preserve">N162AM  </v>
      </c>
      <c r="BC1311">
        <v>1</v>
      </c>
      <c r="BE1311">
        <v>0</v>
      </c>
      <c r="BF1311">
        <v>0</v>
      </c>
      <c r="BG1311">
        <v>0</v>
      </c>
      <c r="BH1311">
        <v>1625</v>
      </c>
      <c r="BI1311">
        <v>1</v>
      </c>
      <c r="BJ1311">
        <v>1</v>
      </c>
      <c r="BK1311">
        <v>1</v>
      </c>
      <c r="BL1311">
        <v>0</v>
      </c>
      <c r="BO1311">
        <v>0</v>
      </c>
      <c r="BP1311">
        <v>0</v>
      </c>
      <c r="BW1311" t="str">
        <f>"14:50:13.609"</f>
        <v>14:50:13.609</v>
      </c>
      <c r="CJ1311">
        <v>2</v>
      </c>
      <c r="CK1311">
        <v>2</v>
      </c>
      <c r="CL1311">
        <v>0</v>
      </c>
      <c r="CM1311">
        <v>2</v>
      </c>
      <c r="CN1311">
        <v>0</v>
      </c>
      <c r="CO1311">
        <v>4</v>
      </c>
      <c r="CP1311" t="s">
        <v>119</v>
      </c>
      <c r="CQ1311">
        <v>232</v>
      </c>
      <c r="CR1311">
        <v>1</v>
      </c>
      <c r="CW1311">
        <v>15522151</v>
      </c>
      <c r="CY1311">
        <v>1</v>
      </c>
      <c r="CZ1311">
        <v>0</v>
      </c>
      <c r="DA1311">
        <v>1</v>
      </c>
      <c r="DB1311">
        <v>0</v>
      </c>
      <c r="DC1311">
        <v>0</v>
      </c>
      <c r="DD1311">
        <v>1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>"12/16/2021 14:50:13.851"</f>
        <v>12/16/2021 14:50:13.851</v>
      </c>
      <c r="C1312" t="str">
        <f t="shared" si="64"/>
        <v>FFDFD3C0</v>
      </c>
      <c r="D1312" t="s">
        <v>113</v>
      </c>
      <c r="E1312">
        <v>8</v>
      </c>
      <c r="H1312">
        <v>176</v>
      </c>
      <c r="I1312" t="s">
        <v>114</v>
      </c>
      <c r="J1312" t="s">
        <v>115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"14:50:13.602"</f>
        <v>14:50:13.602</v>
      </c>
      <c r="T1312" t="str">
        <f>"14:50:13.202"</f>
        <v>14:50:13.202</v>
      </c>
      <c r="U1312" t="str">
        <f t="shared" si="62"/>
        <v>A0F928</v>
      </c>
      <c r="V1312">
        <v>0</v>
      </c>
      <c r="W1312">
        <v>0</v>
      </c>
      <c r="X1312">
        <v>2</v>
      </c>
      <c r="Z1312">
        <v>0</v>
      </c>
      <c r="AA1312">
        <v>9</v>
      </c>
      <c r="AB1312">
        <v>3</v>
      </c>
      <c r="AC1312">
        <v>0</v>
      </c>
      <c r="AD1312">
        <v>10</v>
      </c>
      <c r="AE1312">
        <v>0</v>
      </c>
      <c r="AF1312">
        <v>3</v>
      </c>
      <c r="AG1312">
        <v>2</v>
      </c>
      <c r="AH1312">
        <v>1</v>
      </c>
      <c r="AI1312" t="s">
        <v>281</v>
      </c>
      <c r="AJ1312">
        <v>35.787191</v>
      </c>
      <c r="AK1312" t="s">
        <v>735</v>
      </c>
      <c r="AL1312">
        <v>-84.020347999999998</v>
      </c>
      <c r="AM1312">
        <v>25</v>
      </c>
      <c r="AN1312">
        <v>1375</v>
      </c>
      <c r="AO1312" t="s">
        <v>118</v>
      </c>
      <c r="AP1312">
        <v>-108</v>
      </c>
      <c r="AQ1312">
        <v>-84</v>
      </c>
      <c r="AR1312">
        <v>1088</v>
      </c>
      <c r="AZ1312">
        <v>300</v>
      </c>
      <c r="BA1312">
        <v>1</v>
      </c>
      <c r="BB1312" t="str">
        <f t="shared" si="63"/>
        <v xml:space="preserve">N162AM  </v>
      </c>
      <c r="BC1312">
        <v>1</v>
      </c>
      <c r="BE1312">
        <v>0</v>
      </c>
      <c r="BF1312">
        <v>0</v>
      </c>
      <c r="BG1312">
        <v>0</v>
      </c>
      <c r="BH1312">
        <v>1625</v>
      </c>
      <c r="BI1312">
        <v>1</v>
      </c>
      <c r="BJ1312">
        <v>1</v>
      </c>
      <c r="BK1312">
        <v>1</v>
      </c>
      <c r="BL1312">
        <v>0</v>
      </c>
      <c r="BO1312">
        <v>0</v>
      </c>
      <c r="BP1312">
        <v>0</v>
      </c>
      <c r="BW1312" t="str">
        <f>"14:50:13.609"</f>
        <v>14:50:13.609</v>
      </c>
      <c r="CJ1312">
        <v>3</v>
      </c>
      <c r="CK1312">
        <v>2</v>
      </c>
      <c r="CL1312">
        <v>0</v>
      </c>
      <c r="CM1312">
        <v>2</v>
      </c>
      <c r="CN1312">
        <v>0</v>
      </c>
      <c r="CO1312">
        <v>4</v>
      </c>
      <c r="CP1312" t="s">
        <v>119</v>
      </c>
      <c r="CQ1312">
        <v>232</v>
      </c>
      <c r="CR1312">
        <v>1</v>
      </c>
      <c r="CW1312">
        <v>15522151</v>
      </c>
      <c r="CY1312">
        <v>1</v>
      </c>
      <c r="CZ1312">
        <v>0</v>
      </c>
      <c r="DA1312">
        <v>1</v>
      </c>
      <c r="DB1312">
        <v>0</v>
      </c>
      <c r="DC1312">
        <v>0</v>
      </c>
      <c r="DD1312">
        <v>1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>"12/16/2021 14:50:13.867"</f>
        <v>12/16/2021 14:50:13.867</v>
      </c>
      <c r="C1313" t="str">
        <f t="shared" si="64"/>
        <v>FFDFD3C0</v>
      </c>
      <c r="D1313" t="s">
        <v>124</v>
      </c>
      <c r="E1313">
        <v>5</v>
      </c>
      <c r="F1313">
        <v>1005</v>
      </c>
      <c r="G1313" t="s">
        <v>114</v>
      </c>
      <c r="J1313" t="s">
        <v>125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"14:50:13.602"</f>
        <v>14:50:13.602</v>
      </c>
      <c r="T1313" t="str">
        <f>"14:50:13.202"</f>
        <v>14:50:13.202</v>
      </c>
      <c r="U1313" t="str">
        <f t="shared" si="62"/>
        <v>A0F928</v>
      </c>
      <c r="V1313">
        <v>0</v>
      </c>
      <c r="W1313">
        <v>0</v>
      </c>
      <c r="X1313">
        <v>2</v>
      </c>
      <c r="Z1313">
        <v>0</v>
      </c>
      <c r="AA1313">
        <v>9</v>
      </c>
      <c r="AB1313">
        <v>3</v>
      </c>
      <c r="AC1313">
        <v>0</v>
      </c>
      <c r="AD1313">
        <v>10</v>
      </c>
      <c r="AE1313">
        <v>0</v>
      </c>
      <c r="AF1313">
        <v>3</v>
      </c>
      <c r="AG1313">
        <v>2</v>
      </c>
      <c r="AH1313">
        <v>1</v>
      </c>
      <c r="AI1313" t="s">
        <v>281</v>
      </c>
      <c r="AJ1313">
        <v>35.787191</v>
      </c>
      <c r="AK1313" t="s">
        <v>735</v>
      </c>
      <c r="AL1313">
        <v>-84.020347999999998</v>
      </c>
      <c r="AM1313">
        <v>25</v>
      </c>
      <c r="AN1313">
        <v>1375</v>
      </c>
      <c r="AO1313" t="s">
        <v>118</v>
      </c>
      <c r="AP1313">
        <v>-108</v>
      </c>
      <c r="AQ1313">
        <v>-84</v>
      </c>
      <c r="AR1313">
        <v>1088</v>
      </c>
      <c r="AZ1313">
        <v>300</v>
      </c>
      <c r="BA1313">
        <v>1</v>
      </c>
      <c r="BB1313" t="str">
        <f t="shared" si="63"/>
        <v xml:space="preserve">N162AM  </v>
      </c>
      <c r="BC1313">
        <v>1</v>
      </c>
      <c r="BE1313">
        <v>0</v>
      </c>
      <c r="BF1313">
        <v>0</v>
      </c>
      <c r="BG1313">
        <v>0</v>
      </c>
      <c r="BH1313">
        <v>1625</v>
      </c>
      <c r="BI1313">
        <v>1</v>
      </c>
      <c r="BJ1313">
        <v>1</v>
      </c>
      <c r="BK1313">
        <v>1</v>
      </c>
      <c r="BL1313">
        <v>0</v>
      </c>
      <c r="BO1313">
        <v>0</v>
      </c>
      <c r="BP1313">
        <v>0</v>
      </c>
      <c r="BW1313" t="str">
        <f>"14:50:13.609"</f>
        <v>14:50:13.609</v>
      </c>
      <c r="CJ1313">
        <v>3</v>
      </c>
      <c r="CK1313">
        <v>2</v>
      </c>
      <c r="CL1313">
        <v>0</v>
      </c>
      <c r="CM1313">
        <v>2</v>
      </c>
      <c r="CN1313">
        <v>0</v>
      </c>
      <c r="CO1313">
        <v>4</v>
      </c>
      <c r="CP1313" t="s">
        <v>119</v>
      </c>
      <c r="CQ1313">
        <v>232</v>
      </c>
      <c r="CR1313">
        <v>1</v>
      </c>
      <c r="CW1313">
        <v>15522151</v>
      </c>
      <c r="CY1313">
        <v>1</v>
      </c>
      <c r="CZ1313">
        <v>0</v>
      </c>
      <c r="DA1313">
        <v>1</v>
      </c>
      <c r="DB1313">
        <v>0</v>
      </c>
      <c r="DC1313">
        <v>0</v>
      </c>
      <c r="DD1313">
        <v>1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>"12/16/2021 14:50:14.820"</f>
        <v>12/16/2021 14:50:14.820</v>
      </c>
      <c r="C1314" t="str">
        <f t="shared" si="64"/>
        <v>FFDFD3C0</v>
      </c>
      <c r="D1314" t="s">
        <v>124</v>
      </c>
      <c r="E1314">
        <v>10</v>
      </c>
      <c r="F1314">
        <v>1010</v>
      </c>
      <c r="G1314" t="s">
        <v>130</v>
      </c>
      <c r="J1314" t="s">
        <v>125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"14:50:14.578"</f>
        <v>14:50:14.578</v>
      </c>
      <c r="T1314" t="str">
        <f>"14:50:14.178"</f>
        <v>14:50:14.178</v>
      </c>
      <c r="U1314" t="str">
        <f t="shared" si="62"/>
        <v>A0F928</v>
      </c>
      <c r="V1314">
        <v>0</v>
      </c>
      <c r="W1314">
        <v>0</v>
      </c>
      <c r="X1314">
        <v>2</v>
      </c>
      <c r="Z1314">
        <v>0</v>
      </c>
      <c r="AA1314">
        <v>9</v>
      </c>
      <c r="AB1314">
        <v>3</v>
      </c>
      <c r="AC1314">
        <v>0</v>
      </c>
      <c r="AD1314">
        <v>10</v>
      </c>
      <c r="AE1314">
        <v>0</v>
      </c>
      <c r="AF1314">
        <v>0</v>
      </c>
      <c r="AG1314">
        <v>2</v>
      </c>
      <c r="AH1314">
        <v>1</v>
      </c>
      <c r="AI1314" t="s">
        <v>736</v>
      </c>
      <c r="AJ1314">
        <v>35.786827000000002</v>
      </c>
      <c r="AK1314" t="s">
        <v>737</v>
      </c>
      <c r="AL1314">
        <v>-84.020970000000005</v>
      </c>
      <c r="AM1314">
        <v>25</v>
      </c>
      <c r="AN1314">
        <v>1400</v>
      </c>
      <c r="AO1314" t="s">
        <v>118</v>
      </c>
      <c r="AP1314">
        <v>-113</v>
      </c>
      <c r="AQ1314">
        <v>-77</v>
      </c>
      <c r="AR1314">
        <v>1088</v>
      </c>
      <c r="AZ1314">
        <v>300</v>
      </c>
      <c r="BA1314">
        <v>1</v>
      </c>
      <c r="BB1314" t="str">
        <f t="shared" si="63"/>
        <v xml:space="preserve">N162AM  </v>
      </c>
      <c r="BC1314">
        <v>1</v>
      </c>
      <c r="BE1314">
        <v>0</v>
      </c>
      <c r="BF1314">
        <v>0</v>
      </c>
      <c r="BG1314">
        <v>0</v>
      </c>
      <c r="BH1314">
        <v>1675</v>
      </c>
      <c r="BI1314">
        <v>1</v>
      </c>
      <c r="BJ1314">
        <v>1</v>
      </c>
      <c r="BK1314">
        <v>1</v>
      </c>
      <c r="BL1314">
        <v>0</v>
      </c>
      <c r="BO1314">
        <v>0</v>
      </c>
      <c r="BP1314">
        <v>0</v>
      </c>
      <c r="BW1314" t="str">
        <f>"14:50:14.579"</f>
        <v>14:50:14.579</v>
      </c>
      <c r="CJ1314">
        <v>2</v>
      </c>
      <c r="CK1314">
        <v>2</v>
      </c>
      <c r="CL1314">
        <v>0</v>
      </c>
      <c r="CM1314">
        <v>2</v>
      </c>
      <c r="CN1314">
        <v>0</v>
      </c>
      <c r="CO1314">
        <v>2</v>
      </c>
      <c r="CP1314" t="s">
        <v>119</v>
      </c>
      <c r="CQ1314">
        <v>232</v>
      </c>
      <c r="CR1314">
        <v>1</v>
      </c>
      <c r="CW1314">
        <v>15523615</v>
      </c>
      <c r="CY1314">
        <v>1</v>
      </c>
      <c r="CZ1314">
        <v>0</v>
      </c>
      <c r="DA1314">
        <v>0</v>
      </c>
      <c r="DB1314">
        <v>0</v>
      </c>
      <c r="DC1314">
        <v>0</v>
      </c>
      <c r="DD1314">
        <v>1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>"12/16/2021 14:50:14.820"</f>
        <v>12/16/2021 14:50:14.820</v>
      </c>
      <c r="C1315" t="str">
        <f t="shared" si="64"/>
        <v>FFDFD3C0</v>
      </c>
      <c r="D1315" t="s">
        <v>133</v>
      </c>
      <c r="E1315">
        <v>44</v>
      </c>
      <c r="H1315">
        <v>131</v>
      </c>
      <c r="I1315" t="s">
        <v>134</v>
      </c>
      <c r="J1315" t="s">
        <v>135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"14:50:14.578"</f>
        <v>14:50:14.578</v>
      </c>
      <c r="T1315" t="str">
        <f>"14:50:14.178"</f>
        <v>14:50:14.178</v>
      </c>
      <c r="U1315" t="str">
        <f t="shared" si="62"/>
        <v>A0F928</v>
      </c>
      <c r="V1315">
        <v>0</v>
      </c>
      <c r="W1315">
        <v>0</v>
      </c>
      <c r="X1315">
        <v>2</v>
      </c>
      <c r="Z1315">
        <v>0</v>
      </c>
      <c r="AA1315">
        <v>9</v>
      </c>
      <c r="AB1315">
        <v>3</v>
      </c>
      <c r="AC1315">
        <v>0</v>
      </c>
      <c r="AD1315">
        <v>10</v>
      </c>
      <c r="AE1315">
        <v>0</v>
      </c>
      <c r="AF1315">
        <v>3</v>
      </c>
      <c r="AG1315">
        <v>2</v>
      </c>
      <c r="AH1315">
        <v>1</v>
      </c>
      <c r="AI1315" t="s">
        <v>736</v>
      </c>
      <c r="AJ1315">
        <v>35.786827000000002</v>
      </c>
      <c r="AK1315" t="s">
        <v>737</v>
      </c>
      <c r="AL1315">
        <v>-84.020970000000005</v>
      </c>
      <c r="AM1315">
        <v>25</v>
      </c>
      <c r="AN1315">
        <v>1400</v>
      </c>
      <c r="AO1315" t="s">
        <v>118</v>
      </c>
      <c r="AP1315">
        <v>-113</v>
      </c>
      <c r="AQ1315">
        <v>-77</v>
      </c>
      <c r="AR1315">
        <v>1088</v>
      </c>
      <c r="AZ1315">
        <v>300</v>
      </c>
      <c r="BA1315">
        <v>1</v>
      </c>
      <c r="BB1315" t="str">
        <f t="shared" si="63"/>
        <v xml:space="preserve">N162AM  </v>
      </c>
      <c r="BC1315">
        <v>1</v>
      </c>
      <c r="BE1315">
        <v>0</v>
      </c>
      <c r="BF1315">
        <v>0</v>
      </c>
      <c r="BG1315">
        <v>0</v>
      </c>
      <c r="BH1315">
        <v>1675</v>
      </c>
      <c r="BI1315">
        <v>1</v>
      </c>
      <c r="BJ1315">
        <v>1</v>
      </c>
      <c r="BK1315">
        <v>1</v>
      </c>
      <c r="BL1315">
        <v>0</v>
      </c>
      <c r="BO1315">
        <v>0</v>
      </c>
      <c r="BP1315">
        <v>0</v>
      </c>
      <c r="BW1315" t="str">
        <f>"14:50:14.579"</f>
        <v>14:50:14.579</v>
      </c>
      <c r="CJ1315">
        <v>3</v>
      </c>
      <c r="CK1315">
        <v>2</v>
      </c>
      <c r="CL1315">
        <v>0</v>
      </c>
      <c r="CM1315">
        <v>2</v>
      </c>
      <c r="CN1315">
        <v>0</v>
      </c>
      <c r="CO1315">
        <v>2</v>
      </c>
      <c r="CP1315" t="s">
        <v>119</v>
      </c>
      <c r="CQ1315">
        <v>232</v>
      </c>
      <c r="CR1315">
        <v>1</v>
      </c>
      <c r="CW1315">
        <v>15523615</v>
      </c>
      <c r="CY1315">
        <v>1</v>
      </c>
      <c r="CZ1315">
        <v>0</v>
      </c>
      <c r="DA1315">
        <v>1</v>
      </c>
      <c r="DB1315">
        <v>0</v>
      </c>
      <c r="DC1315">
        <v>0</v>
      </c>
      <c r="DD1315">
        <v>1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>"12/16/2021 14:50:14.820"</f>
        <v>12/16/2021 14:50:14.820</v>
      </c>
      <c r="C1316" t="str">
        <f t="shared" si="64"/>
        <v>FFDFD3C0</v>
      </c>
      <c r="D1316" t="s">
        <v>113</v>
      </c>
      <c r="E1316">
        <v>8</v>
      </c>
      <c r="H1316">
        <v>176</v>
      </c>
      <c r="I1316" t="s">
        <v>114</v>
      </c>
      <c r="J1316" t="s">
        <v>115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"14:50:14.578"</f>
        <v>14:50:14.578</v>
      </c>
      <c r="T1316" t="str">
        <f>"14:50:14.178"</f>
        <v>14:50:14.178</v>
      </c>
      <c r="U1316" t="str">
        <f t="shared" si="62"/>
        <v>A0F928</v>
      </c>
      <c r="V1316">
        <v>0</v>
      </c>
      <c r="W1316">
        <v>0</v>
      </c>
      <c r="X1316">
        <v>2</v>
      </c>
      <c r="Z1316">
        <v>0</v>
      </c>
      <c r="AA1316">
        <v>9</v>
      </c>
      <c r="AB1316">
        <v>3</v>
      </c>
      <c r="AC1316">
        <v>0</v>
      </c>
      <c r="AD1316">
        <v>10</v>
      </c>
      <c r="AE1316">
        <v>0</v>
      </c>
      <c r="AF1316">
        <v>3</v>
      </c>
      <c r="AG1316">
        <v>2</v>
      </c>
      <c r="AH1316">
        <v>1</v>
      </c>
      <c r="AI1316" t="s">
        <v>736</v>
      </c>
      <c r="AJ1316">
        <v>35.786827000000002</v>
      </c>
      <c r="AK1316" t="s">
        <v>737</v>
      </c>
      <c r="AL1316">
        <v>-84.020970000000005</v>
      </c>
      <c r="AM1316">
        <v>25</v>
      </c>
      <c r="AN1316">
        <v>1400</v>
      </c>
      <c r="AO1316" t="s">
        <v>118</v>
      </c>
      <c r="AP1316">
        <v>-113</v>
      </c>
      <c r="AQ1316">
        <v>-77</v>
      </c>
      <c r="AR1316">
        <v>1088</v>
      </c>
      <c r="AZ1316">
        <v>300</v>
      </c>
      <c r="BA1316">
        <v>1</v>
      </c>
      <c r="BB1316" t="str">
        <f t="shared" si="63"/>
        <v xml:space="preserve">N162AM  </v>
      </c>
      <c r="BC1316">
        <v>1</v>
      </c>
      <c r="BE1316">
        <v>0</v>
      </c>
      <c r="BF1316">
        <v>0</v>
      </c>
      <c r="BG1316">
        <v>0</v>
      </c>
      <c r="BH1316">
        <v>1675</v>
      </c>
      <c r="BI1316">
        <v>1</v>
      </c>
      <c r="BJ1316">
        <v>1</v>
      </c>
      <c r="BK1316">
        <v>1</v>
      </c>
      <c r="BL1316">
        <v>0</v>
      </c>
      <c r="BO1316">
        <v>0</v>
      </c>
      <c r="BP1316">
        <v>0</v>
      </c>
      <c r="BW1316" t="str">
        <f>"14:50:14.579"</f>
        <v>14:50:14.579</v>
      </c>
      <c r="CJ1316">
        <v>3</v>
      </c>
      <c r="CK1316">
        <v>2</v>
      </c>
      <c r="CL1316">
        <v>0</v>
      </c>
      <c r="CM1316">
        <v>2</v>
      </c>
      <c r="CN1316">
        <v>0</v>
      </c>
      <c r="CO1316">
        <v>2</v>
      </c>
      <c r="CP1316" t="s">
        <v>119</v>
      </c>
      <c r="CQ1316">
        <v>232</v>
      </c>
      <c r="CR1316">
        <v>1</v>
      </c>
      <c r="CW1316">
        <v>15523615</v>
      </c>
      <c r="CY1316">
        <v>1</v>
      </c>
      <c r="CZ1316">
        <v>0</v>
      </c>
      <c r="DA1316">
        <v>1</v>
      </c>
      <c r="DB1316">
        <v>0</v>
      </c>
      <c r="DC1316">
        <v>0</v>
      </c>
      <c r="DD1316">
        <v>1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>"12/16/2021 14:50:14.820"</f>
        <v>12/16/2021 14:50:14.820</v>
      </c>
      <c r="C1317" t="str">
        <f t="shared" si="64"/>
        <v>FFDFD3C0</v>
      </c>
      <c r="D1317" t="s">
        <v>124</v>
      </c>
      <c r="E1317">
        <v>5</v>
      </c>
      <c r="F1317">
        <v>1005</v>
      </c>
      <c r="G1317" t="s">
        <v>114</v>
      </c>
      <c r="J1317" t="s">
        <v>125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"14:50:14.578"</f>
        <v>14:50:14.578</v>
      </c>
      <c r="T1317" t="str">
        <f>"14:50:14.178"</f>
        <v>14:50:14.178</v>
      </c>
      <c r="U1317" t="str">
        <f t="shared" si="62"/>
        <v>A0F928</v>
      </c>
      <c r="V1317">
        <v>0</v>
      </c>
      <c r="W1317">
        <v>0</v>
      </c>
      <c r="X1317">
        <v>2</v>
      </c>
      <c r="Z1317">
        <v>0</v>
      </c>
      <c r="AA1317">
        <v>9</v>
      </c>
      <c r="AB1317">
        <v>3</v>
      </c>
      <c r="AC1317">
        <v>0</v>
      </c>
      <c r="AD1317">
        <v>10</v>
      </c>
      <c r="AE1317">
        <v>0</v>
      </c>
      <c r="AF1317">
        <v>3</v>
      </c>
      <c r="AG1317">
        <v>2</v>
      </c>
      <c r="AH1317">
        <v>1</v>
      </c>
      <c r="AI1317" t="s">
        <v>736</v>
      </c>
      <c r="AJ1317">
        <v>35.786827000000002</v>
      </c>
      <c r="AK1317" t="s">
        <v>737</v>
      </c>
      <c r="AL1317">
        <v>-84.020970000000005</v>
      </c>
      <c r="AM1317">
        <v>25</v>
      </c>
      <c r="AN1317">
        <v>1400</v>
      </c>
      <c r="AO1317" t="s">
        <v>118</v>
      </c>
      <c r="AP1317">
        <v>-113</v>
      </c>
      <c r="AQ1317">
        <v>-77</v>
      </c>
      <c r="AR1317">
        <v>1088</v>
      </c>
      <c r="AZ1317">
        <v>300</v>
      </c>
      <c r="BA1317">
        <v>1</v>
      </c>
      <c r="BB1317" t="str">
        <f t="shared" si="63"/>
        <v xml:space="preserve">N162AM  </v>
      </c>
      <c r="BC1317">
        <v>1</v>
      </c>
      <c r="BE1317">
        <v>0</v>
      </c>
      <c r="BF1317">
        <v>0</v>
      </c>
      <c r="BG1317">
        <v>0</v>
      </c>
      <c r="BH1317">
        <v>1675</v>
      </c>
      <c r="BI1317">
        <v>1</v>
      </c>
      <c r="BJ1317">
        <v>1</v>
      </c>
      <c r="BK1317">
        <v>1</v>
      </c>
      <c r="BL1317">
        <v>0</v>
      </c>
      <c r="BO1317">
        <v>0</v>
      </c>
      <c r="BP1317">
        <v>0</v>
      </c>
      <c r="BW1317" t="str">
        <f>"14:50:14.579"</f>
        <v>14:50:14.579</v>
      </c>
      <c r="CJ1317">
        <v>3</v>
      </c>
      <c r="CK1317">
        <v>2</v>
      </c>
      <c r="CL1317">
        <v>0</v>
      </c>
      <c r="CM1317">
        <v>2</v>
      </c>
      <c r="CN1317">
        <v>0</v>
      </c>
      <c r="CO1317">
        <v>2</v>
      </c>
      <c r="CP1317" t="s">
        <v>119</v>
      </c>
      <c r="CQ1317">
        <v>232</v>
      </c>
      <c r="CR1317">
        <v>1</v>
      </c>
      <c r="CW1317">
        <v>15523615</v>
      </c>
      <c r="CY1317">
        <v>1</v>
      </c>
      <c r="CZ1317">
        <v>0</v>
      </c>
      <c r="DA1317">
        <v>1</v>
      </c>
      <c r="DB1317">
        <v>0</v>
      </c>
      <c r="DC1317">
        <v>0</v>
      </c>
      <c r="DD1317">
        <v>1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>"12/16/2021 14:50:15.992"</f>
        <v>12/16/2021 14:50:15.992</v>
      </c>
      <c r="C1318" t="str">
        <f t="shared" ref="C1318:C1325" si="65">"FFD3D3C0"</f>
        <v>FFD3D3C0</v>
      </c>
      <c r="D1318" t="s">
        <v>124</v>
      </c>
      <c r="E1318">
        <v>5</v>
      </c>
      <c r="F1318">
        <v>1005</v>
      </c>
      <c r="G1318" t="s">
        <v>114</v>
      </c>
      <c r="J1318" t="s">
        <v>125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"14:50:15.508"</f>
        <v>14:50:15.508</v>
      </c>
      <c r="T1318" t="str">
        <f>"14:50:15.108"</f>
        <v>14:50:15.108</v>
      </c>
      <c r="U1318" t="str">
        <f t="shared" si="62"/>
        <v>A0F928</v>
      </c>
      <c r="V1318">
        <v>0</v>
      </c>
      <c r="W1318">
        <v>0</v>
      </c>
      <c r="X1318">
        <v>2</v>
      </c>
      <c r="Z1318">
        <v>0</v>
      </c>
      <c r="AA1318">
        <v>9</v>
      </c>
      <c r="AB1318">
        <v>3</v>
      </c>
      <c r="AC1318">
        <v>0</v>
      </c>
      <c r="AD1318">
        <v>10</v>
      </c>
      <c r="AE1318">
        <v>0</v>
      </c>
      <c r="AF1318">
        <v>3</v>
      </c>
      <c r="AG1318">
        <v>2</v>
      </c>
      <c r="AH1318">
        <v>1</v>
      </c>
      <c r="AI1318" t="s">
        <v>738</v>
      </c>
      <c r="AJ1318">
        <v>35.786526000000002</v>
      </c>
      <c r="AK1318" t="s">
        <v>739</v>
      </c>
      <c r="AL1318">
        <v>-84.021570999999994</v>
      </c>
      <c r="AM1318">
        <v>25</v>
      </c>
      <c r="AN1318">
        <v>1400</v>
      </c>
      <c r="AO1318" t="s">
        <v>118</v>
      </c>
      <c r="AP1318">
        <v>-117</v>
      </c>
      <c r="AQ1318">
        <v>-71</v>
      </c>
      <c r="AR1318">
        <v>1152</v>
      </c>
      <c r="AZ1318">
        <v>300</v>
      </c>
      <c r="BA1318">
        <v>1</v>
      </c>
      <c r="BE1318">
        <v>0</v>
      </c>
      <c r="BF1318">
        <v>0</v>
      </c>
      <c r="BG1318">
        <v>0</v>
      </c>
      <c r="BH1318">
        <v>1650</v>
      </c>
      <c r="BI1318">
        <v>1</v>
      </c>
      <c r="BJ1318">
        <v>1</v>
      </c>
      <c r="BK1318">
        <v>1</v>
      </c>
      <c r="BL1318">
        <v>0</v>
      </c>
      <c r="BO1318">
        <v>0</v>
      </c>
      <c r="BP1318">
        <v>0</v>
      </c>
      <c r="BW1318" t="str">
        <f>"14:50:15.511"</f>
        <v>14:50:15.511</v>
      </c>
      <c r="CJ1318">
        <v>3</v>
      </c>
      <c r="CK1318">
        <v>2</v>
      </c>
      <c r="CL1318">
        <v>0</v>
      </c>
      <c r="CM1318">
        <v>2</v>
      </c>
      <c r="CN1318">
        <v>0</v>
      </c>
      <c r="CO1318">
        <v>2</v>
      </c>
      <c r="CP1318" t="s">
        <v>119</v>
      </c>
      <c r="CQ1318">
        <v>216</v>
      </c>
      <c r="CR1318">
        <v>0</v>
      </c>
      <c r="CW1318">
        <v>910905</v>
      </c>
      <c r="CY1318">
        <v>1</v>
      </c>
      <c r="CZ1318">
        <v>0</v>
      </c>
      <c r="DA1318">
        <v>0</v>
      </c>
      <c r="DB1318">
        <v>0</v>
      </c>
      <c r="DC1318">
        <v>0</v>
      </c>
      <c r="DD1318">
        <v>1</v>
      </c>
      <c r="DE1318">
        <v>1</v>
      </c>
      <c r="DF1318">
        <v>1</v>
      </c>
      <c r="DG1318">
        <v>0</v>
      </c>
      <c r="DH1318">
        <v>0</v>
      </c>
      <c r="DI1318">
        <v>1</v>
      </c>
    </row>
    <row r="1319" spans="1:113" x14ac:dyDescent="0.3">
      <c r="A1319" t="str">
        <f>"12/16/2021 14:50:15.992"</f>
        <v>12/16/2021 14:50:15.992</v>
      </c>
      <c r="C1319" t="str">
        <f t="shared" si="65"/>
        <v>FFD3D3C0</v>
      </c>
      <c r="D1319" t="s">
        <v>113</v>
      </c>
      <c r="E1319">
        <v>8</v>
      </c>
      <c r="H1319">
        <v>176</v>
      </c>
      <c r="I1319" t="s">
        <v>114</v>
      </c>
      <c r="J1319" t="s">
        <v>115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"14:50:15.508"</f>
        <v>14:50:15.508</v>
      </c>
      <c r="T1319" t="str">
        <f>"14:50:15.108"</f>
        <v>14:50:15.108</v>
      </c>
      <c r="U1319" t="str">
        <f t="shared" si="62"/>
        <v>A0F928</v>
      </c>
      <c r="V1319">
        <v>0</v>
      </c>
      <c r="W1319">
        <v>0</v>
      </c>
      <c r="X1319">
        <v>2</v>
      </c>
      <c r="Z1319">
        <v>0</v>
      </c>
      <c r="AA1319">
        <v>9</v>
      </c>
      <c r="AB1319">
        <v>3</v>
      </c>
      <c r="AC1319">
        <v>0</v>
      </c>
      <c r="AD1319">
        <v>10</v>
      </c>
      <c r="AE1319">
        <v>0</v>
      </c>
      <c r="AF1319">
        <v>3</v>
      </c>
      <c r="AG1319">
        <v>2</v>
      </c>
      <c r="AH1319">
        <v>1</v>
      </c>
      <c r="AI1319" t="s">
        <v>738</v>
      </c>
      <c r="AJ1319">
        <v>35.786526000000002</v>
      </c>
      <c r="AK1319" t="s">
        <v>739</v>
      </c>
      <c r="AL1319">
        <v>-84.021570999999994</v>
      </c>
      <c r="AM1319">
        <v>25</v>
      </c>
      <c r="AN1319">
        <v>1400</v>
      </c>
      <c r="AO1319" t="s">
        <v>118</v>
      </c>
      <c r="AP1319">
        <v>-117</v>
      </c>
      <c r="AQ1319">
        <v>-71</v>
      </c>
      <c r="AR1319">
        <v>1152</v>
      </c>
      <c r="AZ1319">
        <v>300</v>
      </c>
      <c r="BA1319">
        <v>1</v>
      </c>
      <c r="BE1319">
        <v>0</v>
      </c>
      <c r="BF1319">
        <v>0</v>
      </c>
      <c r="BG1319">
        <v>0</v>
      </c>
      <c r="BH1319">
        <v>1650</v>
      </c>
      <c r="BI1319">
        <v>1</v>
      </c>
      <c r="BJ1319">
        <v>1</v>
      </c>
      <c r="BK1319">
        <v>1</v>
      </c>
      <c r="BL1319">
        <v>0</v>
      </c>
      <c r="BO1319">
        <v>0</v>
      </c>
      <c r="BP1319">
        <v>0</v>
      </c>
      <c r="BW1319" t="str">
        <f>"14:50:15.511"</f>
        <v>14:50:15.511</v>
      </c>
      <c r="CJ1319">
        <v>3</v>
      </c>
      <c r="CK1319">
        <v>2</v>
      </c>
      <c r="CL1319">
        <v>0</v>
      </c>
      <c r="CM1319">
        <v>2</v>
      </c>
      <c r="CN1319">
        <v>0</v>
      </c>
      <c r="CO1319">
        <v>2</v>
      </c>
      <c r="CP1319" t="s">
        <v>119</v>
      </c>
      <c r="CQ1319">
        <v>216</v>
      </c>
      <c r="CR1319">
        <v>0</v>
      </c>
      <c r="CW1319">
        <v>910905</v>
      </c>
      <c r="CY1319">
        <v>1</v>
      </c>
      <c r="CZ1319">
        <v>0</v>
      </c>
      <c r="DA1319">
        <v>1</v>
      </c>
      <c r="DB1319">
        <v>0</v>
      </c>
      <c r="DC1319">
        <v>0</v>
      </c>
      <c r="DD1319">
        <v>1</v>
      </c>
      <c r="DE1319">
        <v>1</v>
      </c>
      <c r="DF1319">
        <v>1</v>
      </c>
      <c r="DG1319">
        <v>0</v>
      </c>
      <c r="DH1319">
        <v>0</v>
      </c>
      <c r="DI1319">
        <v>1</v>
      </c>
    </row>
    <row r="1320" spans="1:113" x14ac:dyDescent="0.3">
      <c r="A1320" t="str">
        <f>"12/16/2021 14:50:16.023"</f>
        <v>12/16/2021 14:50:16.023</v>
      </c>
      <c r="C1320" t="str">
        <f t="shared" si="65"/>
        <v>FFD3D3C0</v>
      </c>
      <c r="D1320" t="s">
        <v>124</v>
      </c>
      <c r="E1320">
        <v>10</v>
      </c>
      <c r="F1320">
        <v>1010</v>
      </c>
      <c r="G1320" t="s">
        <v>130</v>
      </c>
      <c r="J1320" t="s">
        <v>125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"14:50:15.508"</f>
        <v>14:50:15.508</v>
      </c>
      <c r="T1320" t="str">
        <f>"14:50:15.108"</f>
        <v>14:50:15.108</v>
      </c>
      <c r="U1320" t="str">
        <f t="shared" si="62"/>
        <v>A0F928</v>
      </c>
      <c r="V1320">
        <v>0</v>
      </c>
      <c r="W1320">
        <v>0</v>
      </c>
      <c r="X1320">
        <v>2</v>
      </c>
      <c r="Z1320">
        <v>0</v>
      </c>
      <c r="AA1320">
        <v>9</v>
      </c>
      <c r="AB1320">
        <v>3</v>
      </c>
      <c r="AC1320">
        <v>0</v>
      </c>
      <c r="AD1320">
        <v>10</v>
      </c>
      <c r="AE1320">
        <v>0</v>
      </c>
      <c r="AF1320">
        <v>0</v>
      </c>
      <c r="AG1320">
        <v>2</v>
      </c>
      <c r="AH1320">
        <v>1</v>
      </c>
      <c r="AI1320" t="s">
        <v>738</v>
      </c>
      <c r="AJ1320">
        <v>35.786526000000002</v>
      </c>
      <c r="AK1320" t="s">
        <v>739</v>
      </c>
      <c r="AL1320">
        <v>-84.021570999999994</v>
      </c>
      <c r="AM1320">
        <v>25</v>
      </c>
      <c r="AN1320">
        <v>1400</v>
      </c>
      <c r="AO1320" t="s">
        <v>118</v>
      </c>
      <c r="AP1320">
        <v>-117</v>
      </c>
      <c r="AQ1320">
        <v>-71</v>
      </c>
      <c r="AR1320">
        <v>1152</v>
      </c>
      <c r="AZ1320">
        <v>300</v>
      </c>
      <c r="BA1320">
        <v>1</v>
      </c>
      <c r="BE1320">
        <v>0</v>
      </c>
      <c r="BF1320">
        <v>0</v>
      </c>
      <c r="BG1320">
        <v>0</v>
      </c>
      <c r="BH1320">
        <v>1650</v>
      </c>
      <c r="BI1320">
        <v>1</v>
      </c>
      <c r="BJ1320">
        <v>1</v>
      </c>
      <c r="BK1320">
        <v>1</v>
      </c>
      <c r="BL1320">
        <v>0</v>
      </c>
      <c r="BO1320">
        <v>0</v>
      </c>
      <c r="BP1320">
        <v>0</v>
      </c>
      <c r="BW1320" t="str">
        <f>"14:50:15.511"</f>
        <v>14:50:15.511</v>
      </c>
      <c r="CJ1320">
        <v>2</v>
      </c>
      <c r="CK1320">
        <v>2</v>
      </c>
      <c r="CL1320">
        <v>0</v>
      </c>
      <c r="CM1320">
        <v>2</v>
      </c>
      <c r="CN1320">
        <v>0</v>
      </c>
      <c r="CO1320">
        <v>2</v>
      </c>
      <c r="CP1320" t="s">
        <v>119</v>
      </c>
      <c r="CQ1320">
        <v>216</v>
      </c>
      <c r="CR1320">
        <v>0</v>
      </c>
      <c r="CW1320">
        <v>910905</v>
      </c>
      <c r="CY1320">
        <v>1</v>
      </c>
      <c r="CZ1320">
        <v>0</v>
      </c>
      <c r="DA1320">
        <v>1</v>
      </c>
      <c r="DB1320">
        <v>0</v>
      </c>
      <c r="DC1320">
        <v>0</v>
      </c>
      <c r="DD1320">
        <v>1</v>
      </c>
      <c r="DE1320">
        <v>1</v>
      </c>
      <c r="DF1320">
        <v>1</v>
      </c>
      <c r="DG1320">
        <v>0</v>
      </c>
      <c r="DH1320">
        <v>0</v>
      </c>
      <c r="DI1320">
        <v>1</v>
      </c>
    </row>
    <row r="1321" spans="1:113" x14ac:dyDescent="0.3">
      <c r="A1321" t="str">
        <f>"12/16/2021 14:50:16.023"</f>
        <v>12/16/2021 14:50:16.023</v>
      </c>
      <c r="C1321" t="str">
        <f t="shared" si="65"/>
        <v>FFD3D3C0</v>
      </c>
      <c r="D1321" t="s">
        <v>133</v>
      </c>
      <c r="E1321">
        <v>44</v>
      </c>
      <c r="H1321">
        <v>131</v>
      </c>
      <c r="I1321" t="s">
        <v>134</v>
      </c>
      <c r="J1321" t="s">
        <v>135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"14:50:15.508"</f>
        <v>14:50:15.508</v>
      </c>
      <c r="T1321" t="str">
        <f>"14:50:15.108"</f>
        <v>14:50:15.108</v>
      </c>
      <c r="U1321" t="str">
        <f t="shared" si="62"/>
        <v>A0F928</v>
      </c>
      <c r="V1321">
        <v>0</v>
      </c>
      <c r="W1321">
        <v>0</v>
      </c>
      <c r="X1321">
        <v>2</v>
      </c>
      <c r="Z1321">
        <v>0</v>
      </c>
      <c r="AA1321">
        <v>9</v>
      </c>
      <c r="AB1321">
        <v>3</v>
      </c>
      <c r="AC1321">
        <v>0</v>
      </c>
      <c r="AD1321">
        <v>10</v>
      </c>
      <c r="AE1321">
        <v>0</v>
      </c>
      <c r="AF1321">
        <v>3</v>
      </c>
      <c r="AG1321">
        <v>2</v>
      </c>
      <c r="AH1321">
        <v>1</v>
      </c>
      <c r="AI1321" t="s">
        <v>738</v>
      </c>
      <c r="AJ1321">
        <v>35.786526000000002</v>
      </c>
      <c r="AK1321" t="s">
        <v>739</v>
      </c>
      <c r="AL1321">
        <v>-84.021570999999994</v>
      </c>
      <c r="AM1321">
        <v>25</v>
      </c>
      <c r="AN1321">
        <v>1400</v>
      </c>
      <c r="AO1321" t="s">
        <v>118</v>
      </c>
      <c r="AP1321">
        <v>-117</v>
      </c>
      <c r="AQ1321">
        <v>-71</v>
      </c>
      <c r="AR1321">
        <v>1152</v>
      </c>
      <c r="AZ1321">
        <v>300</v>
      </c>
      <c r="BA1321">
        <v>1</v>
      </c>
      <c r="BE1321">
        <v>0</v>
      </c>
      <c r="BF1321">
        <v>0</v>
      </c>
      <c r="BG1321">
        <v>0</v>
      </c>
      <c r="BH1321">
        <v>1650</v>
      </c>
      <c r="BI1321">
        <v>1</v>
      </c>
      <c r="BJ1321">
        <v>1</v>
      </c>
      <c r="BK1321">
        <v>1</v>
      </c>
      <c r="BL1321">
        <v>0</v>
      </c>
      <c r="BO1321">
        <v>0</v>
      </c>
      <c r="BP1321">
        <v>0</v>
      </c>
      <c r="BW1321" t="str">
        <f>"14:50:15.511"</f>
        <v>14:50:15.511</v>
      </c>
      <c r="CJ1321">
        <v>3</v>
      </c>
      <c r="CK1321">
        <v>2</v>
      </c>
      <c r="CL1321">
        <v>0</v>
      </c>
      <c r="CM1321">
        <v>2</v>
      </c>
      <c r="CN1321">
        <v>0</v>
      </c>
      <c r="CO1321">
        <v>2</v>
      </c>
      <c r="CP1321" t="s">
        <v>119</v>
      </c>
      <c r="CQ1321">
        <v>216</v>
      </c>
      <c r="CR1321">
        <v>0</v>
      </c>
      <c r="CW1321">
        <v>910905</v>
      </c>
      <c r="CY1321">
        <v>1</v>
      </c>
      <c r="CZ1321">
        <v>0</v>
      </c>
      <c r="DA1321">
        <v>1</v>
      </c>
      <c r="DB1321">
        <v>0</v>
      </c>
      <c r="DC1321">
        <v>0</v>
      </c>
      <c r="DD1321">
        <v>1</v>
      </c>
      <c r="DE1321">
        <v>1</v>
      </c>
      <c r="DF1321">
        <v>1</v>
      </c>
      <c r="DG1321">
        <v>0</v>
      </c>
      <c r="DH1321">
        <v>0</v>
      </c>
      <c r="DI1321">
        <v>1</v>
      </c>
    </row>
    <row r="1322" spans="1:113" x14ac:dyDescent="0.3">
      <c r="A1322" t="str">
        <f>"12/16/2021 14:50:16.929"</f>
        <v>12/16/2021 14:50:16.929</v>
      </c>
      <c r="C1322" t="str">
        <f t="shared" si="65"/>
        <v>FFD3D3C0</v>
      </c>
      <c r="D1322" t="s">
        <v>124</v>
      </c>
      <c r="E1322">
        <v>10</v>
      </c>
      <c r="F1322">
        <v>1010</v>
      </c>
      <c r="G1322" t="s">
        <v>130</v>
      </c>
      <c r="J1322" t="s">
        <v>125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"14:50:16.438"</f>
        <v>14:50:16.438</v>
      </c>
      <c r="T1322" t="str">
        <f>"14:50:16.038"</f>
        <v>14:50:16.038</v>
      </c>
      <c r="U1322" t="str">
        <f t="shared" si="62"/>
        <v>A0F928</v>
      </c>
      <c r="V1322">
        <v>0</v>
      </c>
      <c r="W1322">
        <v>0</v>
      </c>
      <c r="X1322">
        <v>2</v>
      </c>
      <c r="Z1322">
        <v>0</v>
      </c>
      <c r="AA1322">
        <v>9</v>
      </c>
      <c r="AB1322">
        <v>3</v>
      </c>
      <c r="AC1322">
        <v>0</v>
      </c>
      <c r="AD1322">
        <v>10</v>
      </c>
      <c r="AE1322">
        <v>0</v>
      </c>
      <c r="AF1322">
        <v>0</v>
      </c>
      <c r="AG1322">
        <v>2</v>
      </c>
      <c r="AH1322">
        <v>1</v>
      </c>
      <c r="AI1322" t="s">
        <v>740</v>
      </c>
      <c r="AJ1322">
        <v>35.786268999999997</v>
      </c>
      <c r="AK1322" t="s">
        <v>741</v>
      </c>
      <c r="AL1322">
        <v>-84.022236000000007</v>
      </c>
      <c r="AM1322">
        <v>25</v>
      </c>
      <c r="AN1322">
        <v>1425</v>
      </c>
      <c r="AO1322" t="s">
        <v>118</v>
      </c>
      <c r="AP1322">
        <v>-121</v>
      </c>
      <c r="AQ1322">
        <v>-65</v>
      </c>
      <c r="AR1322">
        <v>1152</v>
      </c>
      <c r="AZ1322">
        <v>300</v>
      </c>
      <c r="BA1322">
        <v>1</v>
      </c>
      <c r="BE1322">
        <v>0</v>
      </c>
      <c r="BF1322">
        <v>0</v>
      </c>
      <c r="BG1322">
        <v>0</v>
      </c>
      <c r="BH1322">
        <v>1700</v>
      </c>
      <c r="BI1322">
        <v>1</v>
      </c>
      <c r="BJ1322">
        <v>1</v>
      </c>
      <c r="BK1322">
        <v>1</v>
      </c>
      <c r="BL1322">
        <v>0</v>
      </c>
      <c r="BO1322">
        <v>0</v>
      </c>
      <c r="BP1322">
        <v>0</v>
      </c>
      <c r="BW1322" t="str">
        <f>"14:50:16.438"</f>
        <v>14:50:16.438</v>
      </c>
      <c r="CJ1322">
        <v>2</v>
      </c>
      <c r="CK1322">
        <v>2</v>
      </c>
      <c r="CL1322">
        <v>0</v>
      </c>
      <c r="CM1322">
        <v>2</v>
      </c>
      <c r="CN1322">
        <v>0</v>
      </c>
      <c r="CO1322">
        <v>2</v>
      </c>
      <c r="CP1322" t="s">
        <v>119</v>
      </c>
      <c r="CQ1322">
        <v>216</v>
      </c>
      <c r="CR1322">
        <v>0</v>
      </c>
      <c r="CW1322">
        <v>912261</v>
      </c>
      <c r="CY1322">
        <v>1</v>
      </c>
      <c r="CZ1322">
        <v>0</v>
      </c>
      <c r="DA1322">
        <v>0</v>
      </c>
      <c r="DB1322">
        <v>0</v>
      </c>
      <c r="DC1322">
        <v>0</v>
      </c>
      <c r="DD1322">
        <v>1</v>
      </c>
      <c r="DE1322">
        <v>1</v>
      </c>
      <c r="DF1322">
        <v>1</v>
      </c>
      <c r="DG1322">
        <v>0</v>
      </c>
      <c r="DH1322">
        <v>0</v>
      </c>
      <c r="DI1322">
        <v>1</v>
      </c>
    </row>
    <row r="1323" spans="1:113" x14ac:dyDescent="0.3">
      <c r="A1323" t="str">
        <f>"12/16/2021 14:50:16.929"</f>
        <v>12/16/2021 14:50:16.929</v>
      </c>
      <c r="C1323" t="str">
        <f t="shared" si="65"/>
        <v>FFD3D3C0</v>
      </c>
      <c r="D1323" t="s">
        <v>133</v>
      </c>
      <c r="E1323">
        <v>44</v>
      </c>
      <c r="H1323">
        <v>131</v>
      </c>
      <c r="I1323" t="s">
        <v>134</v>
      </c>
      <c r="J1323" t="s">
        <v>135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"14:50:16.438"</f>
        <v>14:50:16.438</v>
      </c>
      <c r="T1323" t="str">
        <f>"14:50:16.038"</f>
        <v>14:50:16.038</v>
      </c>
      <c r="U1323" t="str">
        <f t="shared" si="62"/>
        <v>A0F928</v>
      </c>
      <c r="V1323">
        <v>0</v>
      </c>
      <c r="W1323">
        <v>0</v>
      </c>
      <c r="X1323">
        <v>2</v>
      </c>
      <c r="Z1323">
        <v>0</v>
      </c>
      <c r="AA1323">
        <v>9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2</v>
      </c>
      <c r="AH1323">
        <v>1</v>
      </c>
      <c r="AI1323" t="s">
        <v>740</v>
      </c>
      <c r="AJ1323">
        <v>35.786268999999997</v>
      </c>
      <c r="AK1323" t="s">
        <v>741</v>
      </c>
      <c r="AL1323">
        <v>-84.022236000000007</v>
      </c>
      <c r="AM1323">
        <v>25</v>
      </c>
      <c r="AN1323">
        <v>1425</v>
      </c>
      <c r="AO1323" t="s">
        <v>118</v>
      </c>
      <c r="AP1323">
        <v>-121</v>
      </c>
      <c r="AQ1323">
        <v>-65</v>
      </c>
      <c r="AR1323">
        <v>1152</v>
      </c>
      <c r="AZ1323">
        <v>300</v>
      </c>
      <c r="BA1323">
        <v>1</v>
      </c>
      <c r="BE1323">
        <v>0</v>
      </c>
      <c r="BF1323">
        <v>0</v>
      </c>
      <c r="BG1323">
        <v>0</v>
      </c>
      <c r="BH1323">
        <v>1700</v>
      </c>
      <c r="BI1323">
        <v>1</v>
      </c>
      <c r="BJ1323">
        <v>1</v>
      </c>
      <c r="BK1323">
        <v>1</v>
      </c>
      <c r="BL1323">
        <v>0</v>
      </c>
      <c r="BO1323">
        <v>0</v>
      </c>
      <c r="BP1323">
        <v>0</v>
      </c>
      <c r="BW1323" t="str">
        <f>"14:50:16.438"</f>
        <v>14:50:16.438</v>
      </c>
      <c r="CJ1323">
        <v>3</v>
      </c>
      <c r="CK1323">
        <v>2</v>
      </c>
      <c r="CL1323">
        <v>0</v>
      </c>
      <c r="CM1323">
        <v>2</v>
      </c>
      <c r="CN1323">
        <v>0</v>
      </c>
      <c r="CO1323">
        <v>2</v>
      </c>
      <c r="CP1323" t="s">
        <v>119</v>
      </c>
      <c r="CQ1323">
        <v>216</v>
      </c>
      <c r="CR1323">
        <v>0</v>
      </c>
      <c r="CW1323">
        <v>912261</v>
      </c>
      <c r="CY1323">
        <v>1</v>
      </c>
      <c r="CZ1323">
        <v>0</v>
      </c>
      <c r="DA1323">
        <v>1</v>
      </c>
      <c r="DB1323">
        <v>0</v>
      </c>
      <c r="DC1323">
        <v>0</v>
      </c>
      <c r="DD1323">
        <v>1</v>
      </c>
      <c r="DE1323">
        <v>1</v>
      </c>
      <c r="DF1323">
        <v>1</v>
      </c>
      <c r="DG1323">
        <v>0</v>
      </c>
      <c r="DH1323">
        <v>0</v>
      </c>
      <c r="DI1323">
        <v>1</v>
      </c>
    </row>
    <row r="1324" spans="1:113" x14ac:dyDescent="0.3">
      <c r="A1324" t="str">
        <f>"12/16/2021 14:50:16.960"</f>
        <v>12/16/2021 14:50:16.960</v>
      </c>
      <c r="C1324" t="str">
        <f t="shared" si="65"/>
        <v>FFD3D3C0</v>
      </c>
      <c r="D1324" t="s">
        <v>124</v>
      </c>
      <c r="E1324">
        <v>5</v>
      </c>
      <c r="F1324">
        <v>1005</v>
      </c>
      <c r="G1324" t="s">
        <v>114</v>
      </c>
      <c r="J1324" t="s">
        <v>125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"14:50:16.438"</f>
        <v>14:50:16.438</v>
      </c>
      <c r="T1324" t="str">
        <f>"14:50:16.038"</f>
        <v>14:50:16.038</v>
      </c>
      <c r="U1324" t="str">
        <f t="shared" si="62"/>
        <v>A0F928</v>
      </c>
      <c r="V1324">
        <v>0</v>
      </c>
      <c r="W1324">
        <v>0</v>
      </c>
      <c r="X1324">
        <v>2</v>
      </c>
      <c r="Z1324">
        <v>0</v>
      </c>
      <c r="AA1324">
        <v>9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2</v>
      </c>
      <c r="AH1324">
        <v>1</v>
      </c>
      <c r="AI1324" t="s">
        <v>740</v>
      </c>
      <c r="AJ1324">
        <v>35.786268999999997</v>
      </c>
      <c r="AK1324" t="s">
        <v>741</v>
      </c>
      <c r="AL1324">
        <v>-84.022236000000007</v>
      </c>
      <c r="AM1324">
        <v>25</v>
      </c>
      <c r="AN1324">
        <v>1425</v>
      </c>
      <c r="AO1324" t="s">
        <v>118</v>
      </c>
      <c r="AP1324">
        <v>-121</v>
      </c>
      <c r="AQ1324">
        <v>-65</v>
      </c>
      <c r="AR1324">
        <v>1152</v>
      </c>
      <c r="AZ1324">
        <v>300</v>
      </c>
      <c r="BA1324">
        <v>1</v>
      </c>
      <c r="BE1324">
        <v>0</v>
      </c>
      <c r="BF1324">
        <v>0</v>
      </c>
      <c r="BG1324">
        <v>0</v>
      </c>
      <c r="BH1324">
        <v>1700</v>
      </c>
      <c r="BI1324">
        <v>1</v>
      </c>
      <c r="BJ1324">
        <v>1</v>
      </c>
      <c r="BK1324">
        <v>1</v>
      </c>
      <c r="BL1324">
        <v>0</v>
      </c>
      <c r="BO1324">
        <v>0</v>
      </c>
      <c r="BP1324">
        <v>0</v>
      </c>
      <c r="BW1324" t="str">
        <f>"14:50:16.438"</f>
        <v>14:50:16.438</v>
      </c>
      <c r="CJ1324">
        <v>3</v>
      </c>
      <c r="CK1324">
        <v>2</v>
      </c>
      <c r="CL1324">
        <v>0</v>
      </c>
      <c r="CM1324">
        <v>2</v>
      </c>
      <c r="CN1324">
        <v>0</v>
      </c>
      <c r="CO1324">
        <v>2</v>
      </c>
      <c r="CP1324" t="s">
        <v>119</v>
      </c>
      <c r="CQ1324">
        <v>216</v>
      </c>
      <c r="CR1324">
        <v>0</v>
      </c>
      <c r="CW1324">
        <v>912261</v>
      </c>
      <c r="CY1324">
        <v>1</v>
      </c>
      <c r="CZ1324">
        <v>0</v>
      </c>
      <c r="DA1324">
        <v>1</v>
      </c>
      <c r="DB1324">
        <v>0</v>
      </c>
      <c r="DC1324">
        <v>0</v>
      </c>
      <c r="DD1324">
        <v>1</v>
      </c>
      <c r="DE1324">
        <v>1</v>
      </c>
      <c r="DF1324">
        <v>1</v>
      </c>
      <c r="DG1324">
        <v>0</v>
      </c>
      <c r="DH1324">
        <v>0</v>
      </c>
      <c r="DI1324">
        <v>1</v>
      </c>
    </row>
    <row r="1325" spans="1:113" x14ac:dyDescent="0.3">
      <c r="A1325" t="str">
        <f>"12/16/2021 14:50:16.960"</f>
        <v>12/16/2021 14:50:16.960</v>
      </c>
      <c r="C1325" t="str">
        <f t="shared" si="65"/>
        <v>FFD3D3C0</v>
      </c>
      <c r="D1325" t="s">
        <v>113</v>
      </c>
      <c r="E1325">
        <v>8</v>
      </c>
      <c r="H1325">
        <v>176</v>
      </c>
      <c r="I1325" t="s">
        <v>114</v>
      </c>
      <c r="J1325" t="s">
        <v>115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"14:50:16.438"</f>
        <v>14:50:16.438</v>
      </c>
      <c r="T1325" t="str">
        <f>"14:50:16.038"</f>
        <v>14:50:16.038</v>
      </c>
      <c r="U1325" t="str">
        <f t="shared" si="62"/>
        <v>A0F928</v>
      </c>
      <c r="V1325">
        <v>0</v>
      </c>
      <c r="W1325">
        <v>0</v>
      </c>
      <c r="X1325">
        <v>2</v>
      </c>
      <c r="Z1325">
        <v>0</v>
      </c>
      <c r="AA1325">
        <v>9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2</v>
      </c>
      <c r="AH1325">
        <v>1</v>
      </c>
      <c r="AI1325" t="s">
        <v>740</v>
      </c>
      <c r="AJ1325">
        <v>35.786268999999997</v>
      </c>
      <c r="AK1325" t="s">
        <v>741</v>
      </c>
      <c r="AL1325">
        <v>-84.022236000000007</v>
      </c>
      <c r="AM1325">
        <v>25</v>
      </c>
      <c r="AN1325">
        <v>1425</v>
      </c>
      <c r="AO1325" t="s">
        <v>118</v>
      </c>
      <c r="AP1325">
        <v>-121</v>
      </c>
      <c r="AQ1325">
        <v>-65</v>
      </c>
      <c r="AR1325">
        <v>1152</v>
      </c>
      <c r="AZ1325">
        <v>300</v>
      </c>
      <c r="BA1325">
        <v>1</v>
      </c>
      <c r="BE1325">
        <v>0</v>
      </c>
      <c r="BF1325">
        <v>0</v>
      </c>
      <c r="BG1325">
        <v>0</v>
      </c>
      <c r="BH1325">
        <v>1700</v>
      </c>
      <c r="BI1325">
        <v>1</v>
      </c>
      <c r="BJ1325">
        <v>1</v>
      </c>
      <c r="BK1325">
        <v>1</v>
      </c>
      <c r="BL1325">
        <v>0</v>
      </c>
      <c r="BO1325">
        <v>0</v>
      </c>
      <c r="BP1325">
        <v>0</v>
      </c>
      <c r="BW1325" t="str">
        <f>"14:50:16.438"</f>
        <v>14:50:16.438</v>
      </c>
      <c r="CJ1325">
        <v>3</v>
      </c>
      <c r="CK1325">
        <v>2</v>
      </c>
      <c r="CL1325">
        <v>0</v>
      </c>
      <c r="CM1325">
        <v>2</v>
      </c>
      <c r="CN1325">
        <v>0</v>
      </c>
      <c r="CO1325">
        <v>2</v>
      </c>
      <c r="CP1325" t="s">
        <v>119</v>
      </c>
      <c r="CQ1325">
        <v>216</v>
      </c>
      <c r="CR1325">
        <v>0</v>
      </c>
      <c r="CW1325">
        <v>912261</v>
      </c>
      <c r="CY1325">
        <v>1</v>
      </c>
      <c r="CZ1325">
        <v>0</v>
      </c>
      <c r="DA1325">
        <v>1</v>
      </c>
      <c r="DB1325">
        <v>0</v>
      </c>
      <c r="DC1325">
        <v>0</v>
      </c>
      <c r="DD1325">
        <v>1</v>
      </c>
      <c r="DE1325">
        <v>1</v>
      </c>
      <c r="DF1325">
        <v>1</v>
      </c>
      <c r="DG1325">
        <v>0</v>
      </c>
      <c r="DH1325">
        <v>0</v>
      </c>
      <c r="DI1325">
        <v>1</v>
      </c>
    </row>
    <row r="1326" spans="1:113" x14ac:dyDescent="0.3">
      <c r="A1326" t="str">
        <f>"12/16/2021 14:50:18.539"</f>
        <v>12/16/2021 14:50:18.539</v>
      </c>
      <c r="C1326" t="str">
        <f t="shared" ref="C1326:C1389" si="66">"FFDFD3C0"</f>
        <v>FFDFD3C0</v>
      </c>
      <c r="D1326" t="s">
        <v>133</v>
      </c>
      <c r="E1326">
        <v>44</v>
      </c>
      <c r="H1326">
        <v>131</v>
      </c>
      <c r="I1326" t="s">
        <v>134</v>
      </c>
      <c r="J1326" t="s">
        <v>135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"14:50:18.328"</f>
        <v>14:50:18.328</v>
      </c>
      <c r="T1326" t="str">
        <f>"14:50:17.528"</f>
        <v>14:50:17.528</v>
      </c>
      <c r="U1326" t="str">
        <f t="shared" si="62"/>
        <v>A0F928</v>
      </c>
      <c r="V1326">
        <v>0</v>
      </c>
      <c r="W1326">
        <v>0</v>
      </c>
      <c r="X1326">
        <v>2</v>
      </c>
      <c r="Z1326">
        <v>0</v>
      </c>
      <c r="AA1326">
        <v>9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2</v>
      </c>
      <c r="AH1326">
        <v>1</v>
      </c>
      <c r="AI1326" t="s">
        <v>742</v>
      </c>
      <c r="AJ1326">
        <v>35.785817999999999</v>
      </c>
      <c r="AK1326" t="s">
        <v>743</v>
      </c>
      <c r="AL1326">
        <v>-84.023544999999999</v>
      </c>
      <c r="AM1326">
        <v>25</v>
      </c>
      <c r="AN1326">
        <v>1475</v>
      </c>
      <c r="AO1326" t="s">
        <v>118</v>
      </c>
      <c r="AP1326">
        <v>-126</v>
      </c>
      <c r="AQ1326">
        <v>-55</v>
      </c>
      <c r="AR1326">
        <v>1088</v>
      </c>
      <c r="AZ1326">
        <v>300</v>
      </c>
      <c r="BA1326">
        <v>1</v>
      </c>
      <c r="BB1326" t="str">
        <f t="shared" ref="BB1326:BB1389" si="67">"N162AM  "</f>
        <v xml:space="preserve">N162AM  </v>
      </c>
      <c r="BC1326">
        <v>1</v>
      </c>
      <c r="BE1326">
        <v>0</v>
      </c>
      <c r="BF1326">
        <v>0</v>
      </c>
      <c r="BG1326">
        <v>0</v>
      </c>
      <c r="BH1326">
        <v>1725</v>
      </c>
      <c r="BI1326">
        <v>1</v>
      </c>
      <c r="BJ1326">
        <v>1</v>
      </c>
      <c r="BK1326">
        <v>1</v>
      </c>
      <c r="BL1326">
        <v>0</v>
      </c>
      <c r="BO1326">
        <v>0</v>
      </c>
      <c r="BP1326">
        <v>0</v>
      </c>
      <c r="BW1326" t="str">
        <f>"14:50:18.331"</f>
        <v>14:50:18.331</v>
      </c>
      <c r="CJ1326">
        <v>3</v>
      </c>
      <c r="CK1326">
        <v>2</v>
      </c>
      <c r="CL1326">
        <v>0</v>
      </c>
      <c r="CM1326">
        <v>2</v>
      </c>
      <c r="CN1326">
        <v>0</v>
      </c>
      <c r="CO1326">
        <v>3</v>
      </c>
      <c r="CP1326" t="s">
        <v>119</v>
      </c>
      <c r="CQ1326">
        <v>232</v>
      </c>
      <c r="CR1326">
        <v>2</v>
      </c>
      <c r="CW1326">
        <v>6728847</v>
      </c>
      <c r="CY1326">
        <v>1</v>
      </c>
      <c r="CZ1326">
        <v>0</v>
      </c>
      <c r="DA1326">
        <v>0</v>
      </c>
      <c r="DB1326">
        <v>0</v>
      </c>
      <c r="DC1326">
        <v>0</v>
      </c>
      <c r="DD1326">
        <v>1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>"12/16/2021 14:50:18.554"</f>
        <v>12/16/2021 14:50:18.554</v>
      </c>
      <c r="C1327" t="str">
        <f t="shared" si="66"/>
        <v>FFDFD3C0</v>
      </c>
      <c r="D1327" t="s">
        <v>124</v>
      </c>
      <c r="E1327">
        <v>5</v>
      </c>
      <c r="F1327">
        <v>1005</v>
      </c>
      <c r="G1327" t="s">
        <v>114</v>
      </c>
      <c r="J1327" t="s">
        <v>125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"14:50:18.328"</f>
        <v>14:50:18.328</v>
      </c>
      <c r="T1327" t="str">
        <f>"14:50:17.528"</f>
        <v>14:50:17.528</v>
      </c>
      <c r="U1327" t="str">
        <f t="shared" si="62"/>
        <v>A0F928</v>
      </c>
      <c r="V1327">
        <v>0</v>
      </c>
      <c r="W1327">
        <v>0</v>
      </c>
      <c r="X1327">
        <v>2</v>
      </c>
      <c r="Z1327">
        <v>0</v>
      </c>
      <c r="AA1327">
        <v>9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2</v>
      </c>
      <c r="AH1327">
        <v>1</v>
      </c>
      <c r="AI1327" t="s">
        <v>742</v>
      </c>
      <c r="AJ1327">
        <v>35.785817999999999</v>
      </c>
      <c r="AK1327" t="s">
        <v>743</v>
      </c>
      <c r="AL1327">
        <v>-84.023544999999999</v>
      </c>
      <c r="AM1327">
        <v>25</v>
      </c>
      <c r="AN1327">
        <v>1475</v>
      </c>
      <c r="AO1327" t="s">
        <v>118</v>
      </c>
      <c r="AP1327">
        <v>-126</v>
      </c>
      <c r="AQ1327">
        <v>-55</v>
      </c>
      <c r="AR1327">
        <v>1088</v>
      </c>
      <c r="AZ1327">
        <v>300</v>
      </c>
      <c r="BA1327">
        <v>1</v>
      </c>
      <c r="BB1327" t="str">
        <f t="shared" si="67"/>
        <v xml:space="preserve">N162AM  </v>
      </c>
      <c r="BC1327">
        <v>1</v>
      </c>
      <c r="BE1327">
        <v>0</v>
      </c>
      <c r="BF1327">
        <v>0</v>
      </c>
      <c r="BG1327">
        <v>0</v>
      </c>
      <c r="BH1327">
        <v>1725</v>
      </c>
      <c r="BI1327">
        <v>1</v>
      </c>
      <c r="BJ1327">
        <v>1</v>
      </c>
      <c r="BK1327">
        <v>1</v>
      </c>
      <c r="BL1327">
        <v>0</v>
      </c>
      <c r="BO1327">
        <v>0</v>
      </c>
      <c r="BP1327">
        <v>0</v>
      </c>
      <c r="BW1327" t="str">
        <f>"14:50:18.331"</f>
        <v>14:50:18.331</v>
      </c>
      <c r="CJ1327">
        <v>3</v>
      </c>
      <c r="CK1327">
        <v>2</v>
      </c>
      <c r="CL1327">
        <v>0</v>
      </c>
      <c r="CM1327">
        <v>2</v>
      </c>
      <c r="CN1327">
        <v>0</v>
      </c>
      <c r="CO1327">
        <v>3</v>
      </c>
      <c r="CP1327" t="s">
        <v>119</v>
      </c>
      <c r="CQ1327">
        <v>232</v>
      </c>
      <c r="CR1327">
        <v>2</v>
      </c>
      <c r="CW1327">
        <v>6728847</v>
      </c>
      <c r="CY1327">
        <v>1</v>
      </c>
      <c r="CZ1327">
        <v>0</v>
      </c>
      <c r="DA1327">
        <v>1</v>
      </c>
      <c r="DB1327">
        <v>0</v>
      </c>
      <c r="DC1327">
        <v>0</v>
      </c>
      <c r="DD1327">
        <v>1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>"12/16/2021 14:50:18.554"</f>
        <v>12/16/2021 14:50:18.554</v>
      </c>
      <c r="C1328" t="str">
        <f t="shared" si="66"/>
        <v>FFDFD3C0</v>
      </c>
      <c r="D1328" t="s">
        <v>113</v>
      </c>
      <c r="E1328">
        <v>8</v>
      </c>
      <c r="H1328">
        <v>176</v>
      </c>
      <c r="I1328" t="s">
        <v>114</v>
      </c>
      <c r="J1328" t="s">
        <v>115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"14:50:18.328"</f>
        <v>14:50:18.328</v>
      </c>
      <c r="T1328" t="str">
        <f>"14:50:17.528"</f>
        <v>14:50:17.528</v>
      </c>
      <c r="U1328" t="str">
        <f t="shared" si="62"/>
        <v>A0F928</v>
      </c>
      <c r="V1328">
        <v>0</v>
      </c>
      <c r="W1328">
        <v>0</v>
      </c>
      <c r="X1328">
        <v>2</v>
      </c>
      <c r="Z1328">
        <v>0</v>
      </c>
      <c r="AA1328">
        <v>9</v>
      </c>
      <c r="AB1328">
        <v>3</v>
      </c>
      <c r="AC1328">
        <v>0</v>
      </c>
      <c r="AD1328">
        <v>10</v>
      </c>
      <c r="AE1328">
        <v>0</v>
      </c>
      <c r="AF1328">
        <v>3</v>
      </c>
      <c r="AG1328">
        <v>2</v>
      </c>
      <c r="AH1328">
        <v>1</v>
      </c>
      <c r="AI1328" t="s">
        <v>742</v>
      </c>
      <c r="AJ1328">
        <v>35.785817999999999</v>
      </c>
      <c r="AK1328" t="s">
        <v>743</v>
      </c>
      <c r="AL1328">
        <v>-84.023544999999999</v>
      </c>
      <c r="AM1328">
        <v>25</v>
      </c>
      <c r="AN1328">
        <v>1475</v>
      </c>
      <c r="AO1328" t="s">
        <v>118</v>
      </c>
      <c r="AP1328">
        <v>-126</v>
      </c>
      <c r="AQ1328">
        <v>-55</v>
      </c>
      <c r="AR1328">
        <v>1088</v>
      </c>
      <c r="AZ1328">
        <v>300</v>
      </c>
      <c r="BA1328">
        <v>1</v>
      </c>
      <c r="BB1328" t="str">
        <f t="shared" si="67"/>
        <v xml:space="preserve">N162AM  </v>
      </c>
      <c r="BC1328">
        <v>1</v>
      </c>
      <c r="BE1328">
        <v>0</v>
      </c>
      <c r="BF1328">
        <v>0</v>
      </c>
      <c r="BG1328">
        <v>0</v>
      </c>
      <c r="BH1328">
        <v>1725</v>
      </c>
      <c r="BI1328">
        <v>1</v>
      </c>
      <c r="BJ1328">
        <v>1</v>
      </c>
      <c r="BK1328">
        <v>1</v>
      </c>
      <c r="BL1328">
        <v>0</v>
      </c>
      <c r="BO1328">
        <v>0</v>
      </c>
      <c r="BP1328">
        <v>0</v>
      </c>
      <c r="BW1328" t="str">
        <f>"14:50:18.331"</f>
        <v>14:50:18.331</v>
      </c>
      <c r="CJ1328">
        <v>3</v>
      </c>
      <c r="CK1328">
        <v>2</v>
      </c>
      <c r="CL1328">
        <v>0</v>
      </c>
      <c r="CM1328">
        <v>2</v>
      </c>
      <c r="CN1328">
        <v>0</v>
      </c>
      <c r="CO1328">
        <v>3</v>
      </c>
      <c r="CP1328" t="s">
        <v>119</v>
      </c>
      <c r="CQ1328">
        <v>232</v>
      </c>
      <c r="CR1328">
        <v>2</v>
      </c>
      <c r="CW1328">
        <v>6728847</v>
      </c>
      <c r="CY1328">
        <v>1</v>
      </c>
      <c r="CZ1328">
        <v>0</v>
      </c>
      <c r="DA1328">
        <v>1</v>
      </c>
      <c r="DB1328">
        <v>0</v>
      </c>
      <c r="DC1328">
        <v>0</v>
      </c>
      <c r="DD1328">
        <v>1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>"12/16/2021 14:50:18.617"</f>
        <v>12/16/2021 14:50:18.617</v>
      </c>
      <c r="C1329" t="str">
        <f t="shared" si="66"/>
        <v>FFDFD3C0</v>
      </c>
      <c r="D1329" t="s">
        <v>124</v>
      </c>
      <c r="E1329">
        <v>10</v>
      </c>
      <c r="F1329">
        <v>1010</v>
      </c>
      <c r="G1329" t="s">
        <v>130</v>
      </c>
      <c r="J1329" t="s">
        <v>125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"14:50:18.328"</f>
        <v>14:50:18.328</v>
      </c>
      <c r="T1329" t="str">
        <f>"14:50:17.528"</f>
        <v>14:50:17.528</v>
      </c>
      <c r="U1329" t="str">
        <f t="shared" si="62"/>
        <v>A0F928</v>
      </c>
      <c r="V1329">
        <v>0</v>
      </c>
      <c r="W1329">
        <v>0</v>
      </c>
      <c r="X1329">
        <v>2</v>
      </c>
      <c r="Z1329">
        <v>0</v>
      </c>
      <c r="AA1329">
        <v>9</v>
      </c>
      <c r="AB1329">
        <v>3</v>
      </c>
      <c r="AC1329">
        <v>0</v>
      </c>
      <c r="AD1329">
        <v>10</v>
      </c>
      <c r="AE1329">
        <v>0</v>
      </c>
      <c r="AF1329">
        <v>0</v>
      </c>
      <c r="AG1329">
        <v>2</v>
      </c>
      <c r="AH1329">
        <v>1</v>
      </c>
      <c r="AI1329" t="s">
        <v>742</v>
      </c>
      <c r="AJ1329">
        <v>35.785817999999999</v>
      </c>
      <c r="AK1329" t="s">
        <v>743</v>
      </c>
      <c r="AL1329">
        <v>-84.023544999999999</v>
      </c>
      <c r="AM1329">
        <v>25</v>
      </c>
      <c r="AN1329">
        <v>1475</v>
      </c>
      <c r="AO1329" t="s">
        <v>118</v>
      </c>
      <c r="AP1329">
        <v>-126</v>
      </c>
      <c r="AQ1329">
        <v>-55</v>
      </c>
      <c r="AR1329">
        <v>1088</v>
      </c>
      <c r="AZ1329">
        <v>300</v>
      </c>
      <c r="BA1329">
        <v>1</v>
      </c>
      <c r="BB1329" t="str">
        <f t="shared" si="67"/>
        <v xml:space="preserve">N162AM  </v>
      </c>
      <c r="BC1329">
        <v>1</v>
      </c>
      <c r="BE1329">
        <v>0</v>
      </c>
      <c r="BF1329">
        <v>0</v>
      </c>
      <c r="BG1329">
        <v>0</v>
      </c>
      <c r="BH1329">
        <v>1725</v>
      </c>
      <c r="BI1329">
        <v>1</v>
      </c>
      <c r="BJ1329">
        <v>1</v>
      </c>
      <c r="BK1329">
        <v>1</v>
      </c>
      <c r="BL1329">
        <v>0</v>
      </c>
      <c r="BO1329">
        <v>0</v>
      </c>
      <c r="BP1329">
        <v>0</v>
      </c>
      <c r="BW1329" t="str">
        <f>"14:50:18.331"</f>
        <v>14:50:18.331</v>
      </c>
      <c r="CJ1329">
        <v>2</v>
      </c>
      <c r="CK1329">
        <v>2</v>
      </c>
      <c r="CL1329">
        <v>0</v>
      </c>
      <c r="CM1329">
        <v>2</v>
      </c>
      <c r="CN1329">
        <v>0</v>
      </c>
      <c r="CO1329">
        <v>3</v>
      </c>
      <c r="CP1329" t="s">
        <v>119</v>
      </c>
      <c r="CQ1329">
        <v>232</v>
      </c>
      <c r="CR1329">
        <v>2</v>
      </c>
      <c r="CW1329">
        <v>6728847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1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>"12/16/2021 14:50:19.509"</f>
        <v>12/16/2021 14:50:19.509</v>
      </c>
      <c r="C1330" t="str">
        <f t="shared" si="66"/>
        <v>FFDFD3C0</v>
      </c>
      <c r="D1330" t="s">
        <v>133</v>
      </c>
      <c r="E1330">
        <v>44</v>
      </c>
      <c r="H1330">
        <v>131</v>
      </c>
      <c r="I1330" t="s">
        <v>134</v>
      </c>
      <c r="J1330" t="s">
        <v>135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"14:50:19.258"</f>
        <v>14:50:19.258</v>
      </c>
      <c r="T1330" t="str">
        <f>"14:50:18.858"</f>
        <v>14:50:18.858</v>
      </c>
      <c r="U1330" t="str">
        <f t="shared" si="62"/>
        <v>A0F928</v>
      </c>
      <c r="V1330">
        <v>0</v>
      </c>
      <c r="W1330">
        <v>0</v>
      </c>
      <c r="X1330">
        <v>2</v>
      </c>
      <c r="Z1330">
        <v>0</v>
      </c>
      <c r="AA1330">
        <v>9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2</v>
      </c>
      <c r="AH1330">
        <v>1</v>
      </c>
      <c r="AI1330" t="s">
        <v>744</v>
      </c>
      <c r="AJ1330">
        <v>35.785581999999998</v>
      </c>
      <c r="AK1330" t="s">
        <v>745</v>
      </c>
      <c r="AL1330">
        <v>-84.024316999999996</v>
      </c>
      <c r="AM1330">
        <v>25</v>
      </c>
      <c r="AN1330">
        <v>1475</v>
      </c>
      <c r="AO1330" t="s">
        <v>118</v>
      </c>
      <c r="AP1330">
        <v>-130</v>
      </c>
      <c r="AQ1330">
        <v>-46</v>
      </c>
      <c r="AR1330">
        <v>1024</v>
      </c>
      <c r="AZ1330">
        <v>300</v>
      </c>
      <c r="BA1330">
        <v>1</v>
      </c>
      <c r="BB1330" t="str">
        <f t="shared" si="67"/>
        <v xml:space="preserve">N162AM  </v>
      </c>
      <c r="BC1330">
        <v>1</v>
      </c>
      <c r="BE1330">
        <v>0</v>
      </c>
      <c r="BF1330">
        <v>0</v>
      </c>
      <c r="BG1330">
        <v>0</v>
      </c>
      <c r="BH1330">
        <v>1750</v>
      </c>
      <c r="BI1330">
        <v>1</v>
      </c>
      <c r="BJ1330">
        <v>1</v>
      </c>
      <c r="BK1330">
        <v>1</v>
      </c>
      <c r="BL1330">
        <v>0</v>
      </c>
      <c r="BO1330">
        <v>0</v>
      </c>
      <c r="BP1330">
        <v>0</v>
      </c>
      <c r="BW1330" t="str">
        <f>"14:50:19.264"</f>
        <v>14:50:19.264</v>
      </c>
      <c r="CJ1330">
        <v>3</v>
      </c>
      <c r="CK1330">
        <v>2</v>
      </c>
      <c r="CL1330">
        <v>0</v>
      </c>
      <c r="CM1330">
        <v>2</v>
      </c>
      <c r="CN1330">
        <v>0</v>
      </c>
      <c r="CO1330">
        <v>4</v>
      </c>
      <c r="CP1330" t="s">
        <v>119</v>
      </c>
      <c r="CQ1330">
        <v>232</v>
      </c>
      <c r="CR1330">
        <v>2</v>
      </c>
      <c r="CW1330">
        <v>6730372</v>
      </c>
      <c r="CY1330">
        <v>1</v>
      </c>
      <c r="CZ1330">
        <v>0</v>
      </c>
      <c r="DA1330">
        <v>0</v>
      </c>
      <c r="DB1330">
        <v>0</v>
      </c>
      <c r="DC1330">
        <v>0</v>
      </c>
      <c r="DD1330">
        <v>1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"12/16/2021 14:50:19.509"</f>
        <v>12/16/2021 14:50:19.509</v>
      </c>
      <c r="C1331" t="str">
        <f t="shared" si="66"/>
        <v>FFDFD3C0</v>
      </c>
      <c r="D1331" t="s">
        <v>124</v>
      </c>
      <c r="E1331">
        <v>5</v>
      </c>
      <c r="F1331">
        <v>1005</v>
      </c>
      <c r="G1331" t="s">
        <v>114</v>
      </c>
      <c r="J1331" t="s">
        <v>125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"14:50:19.258"</f>
        <v>14:50:19.258</v>
      </c>
      <c r="T1331" t="str">
        <f>"14:50:18.858"</f>
        <v>14:50:18.858</v>
      </c>
      <c r="U1331" t="str">
        <f t="shared" si="62"/>
        <v>A0F928</v>
      </c>
      <c r="V1331">
        <v>0</v>
      </c>
      <c r="W1331">
        <v>0</v>
      </c>
      <c r="X1331">
        <v>2</v>
      </c>
      <c r="Z1331">
        <v>0</v>
      </c>
      <c r="AA1331">
        <v>9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2</v>
      </c>
      <c r="AH1331">
        <v>1</v>
      </c>
      <c r="AI1331" t="s">
        <v>744</v>
      </c>
      <c r="AJ1331">
        <v>35.785581999999998</v>
      </c>
      <c r="AK1331" t="s">
        <v>745</v>
      </c>
      <c r="AL1331">
        <v>-84.024316999999996</v>
      </c>
      <c r="AM1331">
        <v>25</v>
      </c>
      <c r="AN1331">
        <v>1475</v>
      </c>
      <c r="AO1331" t="s">
        <v>118</v>
      </c>
      <c r="AP1331">
        <v>-130</v>
      </c>
      <c r="AQ1331">
        <v>-46</v>
      </c>
      <c r="AR1331">
        <v>1024</v>
      </c>
      <c r="AZ1331">
        <v>300</v>
      </c>
      <c r="BA1331">
        <v>1</v>
      </c>
      <c r="BB1331" t="str">
        <f t="shared" si="67"/>
        <v xml:space="preserve">N162AM  </v>
      </c>
      <c r="BC1331">
        <v>1</v>
      </c>
      <c r="BE1331">
        <v>0</v>
      </c>
      <c r="BF1331">
        <v>0</v>
      </c>
      <c r="BG1331">
        <v>0</v>
      </c>
      <c r="BH1331">
        <v>1750</v>
      </c>
      <c r="BI1331">
        <v>1</v>
      </c>
      <c r="BJ1331">
        <v>1</v>
      </c>
      <c r="BK1331">
        <v>1</v>
      </c>
      <c r="BL1331">
        <v>0</v>
      </c>
      <c r="BO1331">
        <v>0</v>
      </c>
      <c r="BP1331">
        <v>0</v>
      </c>
      <c r="BW1331" t="str">
        <f>"14:50:19.264"</f>
        <v>14:50:19.264</v>
      </c>
      <c r="CJ1331">
        <v>3</v>
      </c>
      <c r="CK1331">
        <v>2</v>
      </c>
      <c r="CL1331">
        <v>0</v>
      </c>
      <c r="CM1331">
        <v>2</v>
      </c>
      <c r="CN1331">
        <v>0</v>
      </c>
      <c r="CO1331">
        <v>4</v>
      </c>
      <c r="CP1331" t="s">
        <v>119</v>
      </c>
      <c r="CQ1331">
        <v>232</v>
      </c>
      <c r="CR1331">
        <v>2</v>
      </c>
      <c r="CW1331">
        <v>6730372</v>
      </c>
      <c r="CY1331">
        <v>1</v>
      </c>
      <c r="CZ1331">
        <v>0</v>
      </c>
      <c r="DA1331">
        <v>1</v>
      </c>
      <c r="DB1331">
        <v>0</v>
      </c>
      <c r="DC1331">
        <v>0</v>
      </c>
      <c r="DD1331">
        <v>1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>"12/16/2021 14:50:19.524"</f>
        <v>12/16/2021 14:50:19.524</v>
      </c>
      <c r="C1332" t="str">
        <f t="shared" si="66"/>
        <v>FFDFD3C0</v>
      </c>
      <c r="D1332" t="s">
        <v>113</v>
      </c>
      <c r="E1332">
        <v>8</v>
      </c>
      <c r="H1332">
        <v>176</v>
      </c>
      <c r="I1332" t="s">
        <v>114</v>
      </c>
      <c r="J1332" t="s">
        <v>115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"14:50:19.258"</f>
        <v>14:50:19.258</v>
      </c>
      <c r="T1332" t="str">
        <f>"14:50:18.858"</f>
        <v>14:50:18.858</v>
      </c>
      <c r="U1332" t="str">
        <f t="shared" si="62"/>
        <v>A0F928</v>
      </c>
      <c r="V1332">
        <v>0</v>
      </c>
      <c r="W1332">
        <v>0</v>
      </c>
      <c r="X1332">
        <v>2</v>
      </c>
      <c r="Z1332">
        <v>0</v>
      </c>
      <c r="AA1332">
        <v>9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2</v>
      </c>
      <c r="AH1332">
        <v>1</v>
      </c>
      <c r="AI1332" t="s">
        <v>744</v>
      </c>
      <c r="AJ1332">
        <v>35.785581999999998</v>
      </c>
      <c r="AK1332" t="s">
        <v>745</v>
      </c>
      <c r="AL1332">
        <v>-84.024316999999996</v>
      </c>
      <c r="AM1332">
        <v>25</v>
      </c>
      <c r="AN1332">
        <v>1475</v>
      </c>
      <c r="AO1332" t="s">
        <v>118</v>
      </c>
      <c r="AP1332">
        <v>-130</v>
      </c>
      <c r="AQ1332">
        <v>-46</v>
      </c>
      <c r="AR1332">
        <v>1024</v>
      </c>
      <c r="AZ1332">
        <v>300</v>
      </c>
      <c r="BA1332">
        <v>1</v>
      </c>
      <c r="BB1332" t="str">
        <f t="shared" si="67"/>
        <v xml:space="preserve">N162AM  </v>
      </c>
      <c r="BC1332">
        <v>1</v>
      </c>
      <c r="BE1332">
        <v>0</v>
      </c>
      <c r="BF1332">
        <v>0</v>
      </c>
      <c r="BG1332">
        <v>0</v>
      </c>
      <c r="BH1332">
        <v>1750</v>
      </c>
      <c r="BI1332">
        <v>1</v>
      </c>
      <c r="BJ1332">
        <v>1</v>
      </c>
      <c r="BK1332">
        <v>1</v>
      </c>
      <c r="BL1332">
        <v>0</v>
      </c>
      <c r="BO1332">
        <v>0</v>
      </c>
      <c r="BP1332">
        <v>0</v>
      </c>
      <c r="BW1332" t="str">
        <f>"14:50:19.264"</f>
        <v>14:50:19.264</v>
      </c>
      <c r="CJ1332">
        <v>3</v>
      </c>
      <c r="CK1332">
        <v>2</v>
      </c>
      <c r="CL1332">
        <v>0</v>
      </c>
      <c r="CM1332">
        <v>2</v>
      </c>
      <c r="CN1332">
        <v>0</v>
      </c>
      <c r="CO1332">
        <v>4</v>
      </c>
      <c r="CP1332" t="s">
        <v>119</v>
      </c>
      <c r="CQ1332">
        <v>232</v>
      </c>
      <c r="CR1332">
        <v>2</v>
      </c>
      <c r="CW1332">
        <v>6730372</v>
      </c>
      <c r="CY1332">
        <v>1</v>
      </c>
      <c r="CZ1332">
        <v>0</v>
      </c>
      <c r="DA1332">
        <v>1</v>
      </c>
      <c r="DB1332">
        <v>0</v>
      </c>
      <c r="DC1332">
        <v>0</v>
      </c>
      <c r="DD1332">
        <v>1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>"12/16/2021 14:50:19.524"</f>
        <v>12/16/2021 14:50:19.524</v>
      </c>
      <c r="C1333" t="str">
        <f t="shared" si="66"/>
        <v>FFDFD3C0</v>
      </c>
      <c r="D1333" t="s">
        <v>124</v>
      </c>
      <c r="E1333">
        <v>10</v>
      </c>
      <c r="F1333">
        <v>1010</v>
      </c>
      <c r="G1333" t="s">
        <v>130</v>
      </c>
      <c r="J1333" t="s">
        <v>125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"14:50:19.258"</f>
        <v>14:50:19.258</v>
      </c>
      <c r="T1333" t="str">
        <f>"14:50:18.858"</f>
        <v>14:50:18.858</v>
      </c>
      <c r="U1333" t="str">
        <f t="shared" si="62"/>
        <v>A0F928</v>
      </c>
      <c r="V1333">
        <v>0</v>
      </c>
      <c r="W1333">
        <v>0</v>
      </c>
      <c r="X1333">
        <v>2</v>
      </c>
      <c r="Z1333">
        <v>0</v>
      </c>
      <c r="AA1333">
        <v>9</v>
      </c>
      <c r="AB1333">
        <v>3</v>
      </c>
      <c r="AC1333">
        <v>0</v>
      </c>
      <c r="AD1333">
        <v>10</v>
      </c>
      <c r="AE1333">
        <v>0</v>
      </c>
      <c r="AF1333">
        <v>0</v>
      </c>
      <c r="AG1333">
        <v>2</v>
      </c>
      <c r="AH1333">
        <v>1</v>
      </c>
      <c r="AI1333" t="s">
        <v>744</v>
      </c>
      <c r="AJ1333">
        <v>35.785581999999998</v>
      </c>
      <c r="AK1333" t="s">
        <v>745</v>
      </c>
      <c r="AL1333">
        <v>-84.024316999999996</v>
      </c>
      <c r="AM1333">
        <v>25</v>
      </c>
      <c r="AN1333">
        <v>1475</v>
      </c>
      <c r="AO1333" t="s">
        <v>118</v>
      </c>
      <c r="AP1333">
        <v>-130</v>
      </c>
      <c r="AQ1333">
        <v>-46</v>
      </c>
      <c r="AR1333">
        <v>1024</v>
      </c>
      <c r="AZ1333">
        <v>300</v>
      </c>
      <c r="BA1333">
        <v>1</v>
      </c>
      <c r="BB1333" t="str">
        <f t="shared" si="67"/>
        <v xml:space="preserve">N162AM  </v>
      </c>
      <c r="BC1333">
        <v>1</v>
      </c>
      <c r="BE1333">
        <v>0</v>
      </c>
      <c r="BF1333">
        <v>0</v>
      </c>
      <c r="BG1333">
        <v>0</v>
      </c>
      <c r="BH1333">
        <v>1750</v>
      </c>
      <c r="BI1333">
        <v>1</v>
      </c>
      <c r="BJ1333">
        <v>1</v>
      </c>
      <c r="BK1333">
        <v>1</v>
      </c>
      <c r="BL1333">
        <v>0</v>
      </c>
      <c r="BO1333">
        <v>0</v>
      </c>
      <c r="BP1333">
        <v>0</v>
      </c>
      <c r="BW1333" t="str">
        <f>"14:50:19.264"</f>
        <v>14:50:19.264</v>
      </c>
      <c r="CJ1333">
        <v>2</v>
      </c>
      <c r="CK1333">
        <v>2</v>
      </c>
      <c r="CL1333">
        <v>0</v>
      </c>
      <c r="CM1333">
        <v>2</v>
      </c>
      <c r="CN1333">
        <v>0</v>
      </c>
      <c r="CO1333">
        <v>4</v>
      </c>
      <c r="CP1333" t="s">
        <v>119</v>
      </c>
      <c r="CQ1333">
        <v>232</v>
      </c>
      <c r="CR1333">
        <v>2</v>
      </c>
      <c r="CW1333">
        <v>6730372</v>
      </c>
      <c r="CY1333">
        <v>1</v>
      </c>
      <c r="CZ1333">
        <v>0</v>
      </c>
      <c r="DA1333">
        <v>1</v>
      </c>
      <c r="DB1333">
        <v>0</v>
      </c>
      <c r="DC1333">
        <v>0</v>
      </c>
      <c r="DD1333">
        <v>1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>"12/16/2021 14:50:20.210"</f>
        <v>12/16/2021 14:50:20.210</v>
      </c>
      <c r="C1334" t="str">
        <f t="shared" si="66"/>
        <v>FFDFD3C0</v>
      </c>
      <c r="D1334" t="s">
        <v>133</v>
      </c>
      <c r="E1334">
        <v>44</v>
      </c>
      <c r="H1334">
        <v>131</v>
      </c>
      <c r="I1334" t="s">
        <v>134</v>
      </c>
      <c r="J1334" t="s">
        <v>135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"14:50:19.719"</f>
        <v>14:50:19.719</v>
      </c>
      <c r="T1334" t="str">
        <f>"14:50:17.919"</f>
        <v>14:50:17.919</v>
      </c>
      <c r="U1334" t="str">
        <f t="shared" si="62"/>
        <v>A0F928</v>
      </c>
      <c r="V1334">
        <v>0</v>
      </c>
      <c r="W1334">
        <v>0</v>
      </c>
      <c r="X1334">
        <v>2</v>
      </c>
      <c r="Z1334">
        <v>0</v>
      </c>
      <c r="AA1334">
        <v>9</v>
      </c>
      <c r="AB1334">
        <v>3</v>
      </c>
      <c r="AC1334">
        <v>0</v>
      </c>
      <c r="AD1334">
        <v>10</v>
      </c>
      <c r="AE1334">
        <v>0</v>
      </c>
      <c r="AF1334">
        <v>3</v>
      </c>
      <c r="AG1334">
        <v>2</v>
      </c>
      <c r="AH1334">
        <v>1</v>
      </c>
      <c r="AI1334" t="s">
        <v>746</v>
      </c>
      <c r="AJ1334">
        <v>35.785539</v>
      </c>
      <c r="AK1334" t="s">
        <v>747</v>
      </c>
      <c r="AL1334">
        <v>-84.024596000000003</v>
      </c>
      <c r="AM1334">
        <v>25</v>
      </c>
      <c r="AN1334">
        <v>1475</v>
      </c>
      <c r="AO1334" t="s">
        <v>118</v>
      </c>
      <c r="AP1334">
        <v>-127</v>
      </c>
      <c r="AQ1334">
        <v>-51</v>
      </c>
      <c r="AR1334">
        <v>1088</v>
      </c>
      <c r="AZ1334">
        <v>300</v>
      </c>
      <c r="BA1334">
        <v>1</v>
      </c>
      <c r="BB1334" t="str">
        <f t="shared" si="67"/>
        <v xml:space="preserve">N162AM  </v>
      </c>
      <c r="BC1334">
        <v>1</v>
      </c>
      <c r="BE1334">
        <v>0</v>
      </c>
      <c r="BF1334">
        <v>0</v>
      </c>
      <c r="BG1334">
        <v>0</v>
      </c>
      <c r="BH1334">
        <v>1725</v>
      </c>
      <c r="BI1334">
        <v>1</v>
      </c>
      <c r="BJ1334">
        <v>1</v>
      </c>
      <c r="BK1334">
        <v>1</v>
      </c>
      <c r="BL1334">
        <v>0</v>
      </c>
      <c r="BO1334">
        <v>0</v>
      </c>
      <c r="BP1334">
        <v>0</v>
      </c>
      <c r="BW1334" t="str">
        <f>"14:50:19.723"</f>
        <v>14:50:19.723</v>
      </c>
      <c r="CJ1334">
        <v>3</v>
      </c>
      <c r="CK1334">
        <v>2</v>
      </c>
      <c r="CL1334">
        <v>0</v>
      </c>
      <c r="CM1334">
        <v>2</v>
      </c>
      <c r="CN1334">
        <v>0</v>
      </c>
      <c r="CO1334">
        <v>2</v>
      </c>
      <c r="CP1334" t="s">
        <v>119</v>
      </c>
      <c r="CQ1334">
        <v>216</v>
      </c>
      <c r="CR1334">
        <v>0</v>
      </c>
      <c r="CW1334">
        <v>916524</v>
      </c>
      <c r="CY1334">
        <v>1</v>
      </c>
      <c r="CZ1334">
        <v>0</v>
      </c>
      <c r="DA1334">
        <v>0</v>
      </c>
      <c r="DB1334">
        <v>0</v>
      </c>
      <c r="DC1334">
        <v>0</v>
      </c>
      <c r="DD1334">
        <v>1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>"12/16/2021 14:50:20.210"</f>
        <v>12/16/2021 14:50:20.210</v>
      </c>
      <c r="C1335" t="str">
        <f t="shared" si="66"/>
        <v>FFDFD3C0</v>
      </c>
      <c r="D1335" t="s">
        <v>124</v>
      </c>
      <c r="E1335">
        <v>5</v>
      </c>
      <c r="F1335">
        <v>1005</v>
      </c>
      <c r="G1335" t="s">
        <v>114</v>
      </c>
      <c r="J1335" t="s">
        <v>125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"14:50:19.719"</f>
        <v>14:50:19.719</v>
      </c>
      <c r="T1335" t="str">
        <f>"14:50:17.919"</f>
        <v>14:50:17.919</v>
      </c>
      <c r="U1335" t="str">
        <f t="shared" si="62"/>
        <v>A0F928</v>
      </c>
      <c r="V1335">
        <v>0</v>
      </c>
      <c r="W1335">
        <v>0</v>
      </c>
      <c r="X1335">
        <v>2</v>
      </c>
      <c r="Z1335">
        <v>0</v>
      </c>
      <c r="AA1335">
        <v>9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2</v>
      </c>
      <c r="AH1335">
        <v>1</v>
      </c>
      <c r="AI1335" t="s">
        <v>746</v>
      </c>
      <c r="AJ1335">
        <v>35.785539</v>
      </c>
      <c r="AK1335" t="s">
        <v>747</v>
      </c>
      <c r="AL1335">
        <v>-84.024596000000003</v>
      </c>
      <c r="AM1335">
        <v>25</v>
      </c>
      <c r="AN1335">
        <v>1475</v>
      </c>
      <c r="AO1335" t="s">
        <v>118</v>
      </c>
      <c r="AP1335">
        <v>-127</v>
      </c>
      <c r="AQ1335">
        <v>-51</v>
      </c>
      <c r="AR1335">
        <v>1088</v>
      </c>
      <c r="AZ1335">
        <v>300</v>
      </c>
      <c r="BA1335">
        <v>1</v>
      </c>
      <c r="BB1335" t="str">
        <f t="shared" si="67"/>
        <v xml:space="preserve">N162AM  </v>
      </c>
      <c r="BC1335">
        <v>1</v>
      </c>
      <c r="BE1335">
        <v>0</v>
      </c>
      <c r="BF1335">
        <v>0</v>
      </c>
      <c r="BG1335">
        <v>0</v>
      </c>
      <c r="BH1335">
        <v>1725</v>
      </c>
      <c r="BI1335">
        <v>1</v>
      </c>
      <c r="BJ1335">
        <v>1</v>
      </c>
      <c r="BK1335">
        <v>1</v>
      </c>
      <c r="BL1335">
        <v>0</v>
      </c>
      <c r="BO1335">
        <v>0</v>
      </c>
      <c r="BP1335">
        <v>0</v>
      </c>
      <c r="BW1335" t="str">
        <f>"14:50:19.723"</f>
        <v>14:50:19.723</v>
      </c>
      <c r="CJ1335">
        <v>3</v>
      </c>
      <c r="CK1335">
        <v>2</v>
      </c>
      <c r="CL1335">
        <v>0</v>
      </c>
      <c r="CM1335">
        <v>2</v>
      </c>
      <c r="CN1335">
        <v>0</v>
      </c>
      <c r="CO1335">
        <v>2</v>
      </c>
      <c r="CP1335" t="s">
        <v>119</v>
      </c>
      <c r="CQ1335">
        <v>216</v>
      </c>
      <c r="CR1335">
        <v>0</v>
      </c>
      <c r="CW1335">
        <v>916524</v>
      </c>
      <c r="CY1335">
        <v>1</v>
      </c>
      <c r="CZ1335">
        <v>0</v>
      </c>
      <c r="DA1335">
        <v>1</v>
      </c>
      <c r="DB1335">
        <v>0</v>
      </c>
      <c r="DC1335">
        <v>0</v>
      </c>
      <c r="DD1335">
        <v>1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>"12/16/2021 14:50:20.226"</f>
        <v>12/16/2021 14:50:20.226</v>
      </c>
      <c r="C1336" t="str">
        <f t="shared" si="66"/>
        <v>FFDFD3C0</v>
      </c>
      <c r="D1336" t="s">
        <v>124</v>
      </c>
      <c r="E1336">
        <v>10</v>
      </c>
      <c r="F1336">
        <v>1010</v>
      </c>
      <c r="G1336" t="s">
        <v>130</v>
      </c>
      <c r="J1336" t="s">
        <v>125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"14:50:19.719"</f>
        <v>14:50:19.719</v>
      </c>
      <c r="T1336" t="str">
        <f>"14:50:17.919"</f>
        <v>14:50:17.919</v>
      </c>
      <c r="U1336" t="str">
        <f t="shared" si="62"/>
        <v>A0F928</v>
      </c>
      <c r="V1336">
        <v>0</v>
      </c>
      <c r="W1336">
        <v>0</v>
      </c>
      <c r="X1336">
        <v>2</v>
      </c>
      <c r="Z1336">
        <v>0</v>
      </c>
      <c r="AA1336">
        <v>9</v>
      </c>
      <c r="AB1336">
        <v>3</v>
      </c>
      <c r="AC1336">
        <v>0</v>
      </c>
      <c r="AD1336">
        <v>10</v>
      </c>
      <c r="AE1336">
        <v>0</v>
      </c>
      <c r="AF1336">
        <v>0</v>
      </c>
      <c r="AG1336">
        <v>2</v>
      </c>
      <c r="AH1336">
        <v>1</v>
      </c>
      <c r="AI1336" t="s">
        <v>746</v>
      </c>
      <c r="AJ1336">
        <v>35.785539</v>
      </c>
      <c r="AK1336" t="s">
        <v>747</v>
      </c>
      <c r="AL1336">
        <v>-84.024596000000003</v>
      </c>
      <c r="AM1336">
        <v>25</v>
      </c>
      <c r="AN1336">
        <v>1475</v>
      </c>
      <c r="AO1336" t="s">
        <v>118</v>
      </c>
      <c r="AP1336">
        <v>-127</v>
      </c>
      <c r="AQ1336">
        <v>-51</v>
      </c>
      <c r="AR1336">
        <v>1088</v>
      </c>
      <c r="AZ1336">
        <v>300</v>
      </c>
      <c r="BA1336">
        <v>1</v>
      </c>
      <c r="BB1336" t="str">
        <f t="shared" si="67"/>
        <v xml:space="preserve">N162AM  </v>
      </c>
      <c r="BC1336">
        <v>1</v>
      </c>
      <c r="BE1336">
        <v>0</v>
      </c>
      <c r="BF1336">
        <v>0</v>
      </c>
      <c r="BG1336">
        <v>0</v>
      </c>
      <c r="BH1336">
        <v>1725</v>
      </c>
      <c r="BI1336">
        <v>1</v>
      </c>
      <c r="BJ1336">
        <v>1</v>
      </c>
      <c r="BK1336">
        <v>1</v>
      </c>
      <c r="BL1336">
        <v>0</v>
      </c>
      <c r="BO1336">
        <v>0</v>
      </c>
      <c r="BP1336">
        <v>0</v>
      </c>
      <c r="BW1336" t="str">
        <f>"14:50:19.723"</f>
        <v>14:50:19.723</v>
      </c>
      <c r="CJ1336">
        <v>2</v>
      </c>
      <c r="CK1336">
        <v>2</v>
      </c>
      <c r="CL1336">
        <v>0</v>
      </c>
      <c r="CM1336">
        <v>2</v>
      </c>
      <c r="CN1336">
        <v>0</v>
      </c>
      <c r="CO1336">
        <v>2</v>
      </c>
      <c r="CP1336" t="s">
        <v>119</v>
      </c>
      <c r="CQ1336">
        <v>216</v>
      </c>
      <c r="CR1336">
        <v>0</v>
      </c>
      <c r="CW1336">
        <v>916524</v>
      </c>
      <c r="CY1336">
        <v>1</v>
      </c>
      <c r="CZ1336">
        <v>0</v>
      </c>
      <c r="DA1336">
        <v>1</v>
      </c>
      <c r="DB1336">
        <v>0</v>
      </c>
      <c r="DC1336">
        <v>0</v>
      </c>
      <c r="DD1336">
        <v>1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>"12/16/2021 14:50:20.242"</f>
        <v>12/16/2021 14:50:20.242</v>
      </c>
      <c r="C1337" t="str">
        <f t="shared" si="66"/>
        <v>FFDFD3C0</v>
      </c>
      <c r="D1337" t="s">
        <v>113</v>
      </c>
      <c r="E1337">
        <v>8</v>
      </c>
      <c r="H1337">
        <v>176</v>
      </c>
      <c r="I1337" t="s">
        <v>114</v>
      </c>
      <c r="J1337" t="s">
        <v>115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"14:50:19.719"</f>
        <v>14:50:19.719</v>
      </c>
      <c r="T1337" t="str">
        <f>"14:50:17.919"</f>
        <v>14:50:17.919</v>
      </c>
      <c r="U1337" t="str">
        <f t="shared" si="62"/>
        <v>A0F928</v>
      </c>
      <c r="V1337">
        <v>0</v>
      </c>
      <c r="W1337">
        <v>0</v>
      </c>
      <c r="X1337">
        <v>2</v>
      </c>
      <c r="Z1337">
        <v>0</v>
      </c>
      <c r="AA1337">
        <v>9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2</v>
      </c>
      <c r="AH1337">
        <v>1</v>
      </c>
      <c r="AI1337" t="s">
        <v>746</v>
      </c>
      <c r="AJ1337">
        <v>35.785539</v>
      </c>
      <c r="AK1337" t="s">
        <v>747</v>
      </c>
      <c r="AL1337">
        <v>-84.024596000000003</v>
      </c>
      <c r="AM1337">
        <v>25</v>
      </c>
      <c r="AN1337">
        <v>1475</v>
      </c>
      <c r="AO1337" t="s">
        <v>118</v>
      </c>
      <c r="AP1337">
        <v>-127</v>
      </c>
      <c r="AQ1337">
        <v>-51</v>
      </c>
      <c r="AR1337">
        <v>1088</v>
      </c>
      <c r="AZ1337">
        <v>300</v>
      </c>
      <c r="BA1337">
        <v>1</v>
      </c>
      <c r="BB1337" t="str">
        <f t="shared" si="67"/>
        <v xml:space="preserve">N162AM  </v>
      </c>
      <c r="BC1337">
        <v>1</v>
      </c>
      <c r="BE1337">
        <v>0</v>
      </c>
      <c r="BF1337">
        <v>0</v>
      </c>
      <c r="BG1337">
        <v>0</v>
      </c>
      <c r="BH1337">
        <v>1725</v>
      </c>
      <c r="BI1337">
        <v>1</v>
      </c>
      <c r="BJ1337">
        <v>1</v>
      </c>
      <c r="BK1337">
        <v>1</v>
      </c>
      <c r="BL1337">
        <v>0</v>
      </c>
      <c r="BO1337">
        <v>0</v>
      </c>
      <c r="BP1337">
        <v>0</v>
      </c>
      <c r="BW1337" t="str">
        <f>"14:50:19.723"</f>
        <v>14:50:19.723</v>
      </c>
      <c r="CJ1337">
        <v>3</v>
      </c>
      <c r="CK1337">
        <v>2</v>
      </c>
      <c r="CL1337">
        <v>0</v>
      </c>
      <c r="CM1337">
        <v>2</v>
      </c>
      <c r="CN1337">
        <v>0</v>
      </c>
      <c r="CO1337">
        <v>2</v>
      </c>
      <c r="CP1337" t="s">
        <v>119</v>
      </c>
      <c r="CQ1337">
        <v>216</v>
      </c>
      <c r="CR1337">
        <v>0</v>
      </c>
      <c r="CW1337">
        <v>916524</v>
      </c>
      <c r="CY1337">
        <v>1</v>
      </c>
      <c r="CZ1337">
        <v>0</v>
      </c>
      <c r="DA1337">
        <v>1</v>
      </c>
      <c r="DB1337">
        <v>0</v>
      </c>
      <c r="DC1337">
        <v>0</v>
      </c>
      <c r="DD1337">
        <v>1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"12/16/2021 14:50:21.523"</f>
        <v>12/16/2021 14:50:21.523</v>
      </c>
      <c r="C1338" t="str">
        <f t="shared" si="66"/>
        <v>FFDFD3C0</v>
      </c>
      <c r="D1338" t="s">
        <v>124</v>
      </c>
      <c r="E1338">
        <v>5</v>
      </c>
      <c r="F1338">
        <v>1005</v>
      </c>
      <c r="G1338" t="s">
        <v>114</v>
      </c>
      <c r="J1338" t="s">
        <v>125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"14:50:21.344"</f>
        <v>14:50:21.344</v>
      </c>
      <c r="T1338" t="str">
        <f t="shared" ref="T1338:T1345" si="68">"14:50:20.844"</f>
        <v>14:50:20.844</v>
      </c>
      <c r="U1338" t="str">
        <f t="shared" si="62"/>
        <v>A0F928</v>
      </c>
      <c r="V1338">
        <v>0</v>
      </c>
      <c r="W1338">
        <v>0</v>
      </c>
      <c r="X1338">
        <v>2</v>
      </c>
      <c r="Z1338">
        <v>0</v>
      </c>
      <c r="AA1338">
        <v>9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2</v>
      </c>
      <c r="AH1338">
        <v>1</v>
      </c>
      <c r="AI1338" t="s">
        <v>748</v>
      </c>
      <c r="AJ1338">
        <v>35.785260000000001</v>
      </c>
      <c r="AK1338" t="s">
        <v>749</v>
      </c>
      <c r="AL1338">
        <v>-84.025841</v>
      </c>
      <c r="AM1338">
        <v>25</v>
      </c>
      <c r="AN1338">
        <v>1525</v>
      </c>
      <c r="AO1338" t="s">
        <v>118</v>
      </c>
      <c r="AP1338">
        <v>-135</v>
      </c>
      <c r="AQ1338">
        <v>-32</v>
      </c>
      <c r="AR1338">
        <v>960</v>
      </c>
      <c r="AZ1338">
        <v>300</v>
      </c>
      <c r="BA1338">
        <v>1</v>
      </c>
      <c r="BB1338" t="str">
        <f t="shared" si="67"/>
        <v xml:space="preserve">N162AM  </v>
      </c>
      <c r="BC1338">
        <v>1</v>
      </c>
      <c r="BE1338">
        <v>0</v>
      </c>
      <c r="BF1338">
        <v>0</v>
      </c>
      <c r="BG1338">
        <v>0</v>
      </c>
      <c r="BH1338">
        <v>1775</v>
      </c>
      <c r="BI1338">
        <v>1</v>
      </c>
      <c r="BJ1338">
        <v>1</v>
      </c>
      <c r="BK1338">
        <v>1</v>
      </c>
      <c r="BL1338">
        <v>0</v>
      </c>
      <c r="BO1338">
        <v>0</v>
      </c>
      <c r="BP1338">
        <v>0</v>
      </c>
      <c r="BW1338" t="str">
        <f>"14:50:21.345"</f>
        <v>14:50:21.345</v>
      </c>
      <c r="CJ1338">
        <v>3</v>
      </c>
      <c r="CK1338">
        <v>2</v>
      </c>
      <c r="CL1338">
        <v>0</v>
      </c>
      <c r="CM1338">
        <v>2</v>
      </c>
      <c r="CN1338">
        <v>0</v>
      </c>
      <c r="CO1338">
        <v>3</v>
      </c>
      <c r="CP1338" t="s">
        <v>119</v>
      </c>
      <c r="CQ1338">
        <v>216</v>
      </c>
      <c r="CR1338">
        <v>0</v>
      </c>
      <c r="CW1338">
        <v>918777</v>
      </c>
      <c r="CY1338">
        <v>1</v>
      </c>
      <c r="CZ1338">
        <v>0</v>
      </c>
      <c r="DA1338">
        <v>0</v>
      </c>
      <c r="DB1338">
        <v>0</v>
      </c>
      <c r="DC1338">
        <v>0</v>
      </c>
      <c r="DD1338">
        <v>1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"12/16/2021 14:50:21.539"</f>
        <v>12/16/2021 14:50:21.539</v>
      </c>
      <c r="C1339" t="str">
        <f t="shared" si="66"/>
        <v>FFDFD3C0</v>
      </c>
      <c r="D1339" t="s">
        <v>124</v>
      </c>
      <c r="E1339">
        <v>10</v>
      </c>
      <c r="F1339">
        <v>1010</v>
      </c>
      <c r="G1339" t="s">
        <v>130</v>
      </c>
      <c r="J1339" t="s">
        <v>125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"14:50:21.344"</f>
        <v>14:50:21.344</v>
      </c>
      <c r="T1339" t="str">
        <f t="shared" si="68"/>
        <v>14:50:20.844</v>
      </c>
      <c r="U1339" t="str">
        <f t="shared" si="62"/>
        <v>A0F928</v>
      </c>
      <c r="V1339">
        <v>0</v>
      </c>
      <c r="W1339">
        <v>0</v>
      </c>
      <c r="X1339">
        <v>2</v>
      </c>
      <c r="Z1339">
        <v>0</v>
      </c>
      <c r="AA1339">
        <v>9</v>
      </c>
      <c r="AB1339">
        <v>3</v>
      </c>
      <c r="AC1339">
        <v>0</v>
      </c>
      <c r="AD1339">
        <v>10</v>
      </c>
      <c r="AE1339">
        <v>0</v>
      </c>
      <c r="AF1339">
        <v>0</v>
      </c>
      <c r="AG1339">
        <v>2</v>
      </c>
      <c r="AH1339">
        <v>1</v>
      </c>
      <c r="AI1339" t="s">
        <v>748</v>
      </c>
      <c r="AJ1339">
        <v>35.785260000000001</v>
      </c>
      <c r="AK1339" t="s">
        <v>749</v>
      </c>
      <c r="AL1339">
        <v>-84.025841</v>
      </c>
      <c r="AM1339">
        <v>25</v>
      </c>
      <c r="AN1339">
        <v>1525</v>
      </c>
      <c r="AO1339" t="s">
        <v>118</v>
      </c>
      <c r="AP1339">
        <v>-135</v>
      </c>
      <c r="AQ1339">
        <v>-32</v>
      </c>
      <c r="AR1339">
        <v>960</v>
      </c>
      <c r="AZ1339">
        <v>300</v>
      </c>
      <c r="BA1339">
        <v>1</v>
      </c>
      <c r="BB1339" t="str">
        <f t="shared" si="67"/>
        <v xml:space="preserve">N162AM  </v>
      </c>
      <c r="BC1339">
        <v>1</v>
      </c>
      <c r="BE1339">
        <v>0</v>
      </c>
      <c r="BF1339">
        <v>0</v>
      </c>
      <c r="BG1339">
        <v>0</v>
      </c>
      <c r="BH1339">
        <v>1775</v>
      </c>
      <c r="BI1339">
        <v>1</v>
      </c>
      <c r="BJ1339">
        <v>1</v>
      </c>
      <c r="BK1339">
        <v>1</v>
      </c>
      <c r="BL1339">
        <v>0</v>
      </c>
      <c r="BO1339">
        <v>0</v>
      </c>
      <c r="BP1339">
        <v>0</v>
      </c>
      <c r="BW1339" t="str">
        <f>"14:50:21.345"</f>
        <v>14:50:21.345</v>
      </c>
      <c r="CJ1339">
        <v>2</v>
      </c>
      <c r="CK1339">
        <v>2</v>
      </c>
      <c r="CL1339">
        <v>0</v>
      </c>
      <c r="CM1339">
        <v>2</v>
      </c>
      <c r="CN1339">
        <v>0</v>
      </c>
      <c r="CO1339">
        <v>3</v>
      </c>
      <c r="CP1339" t="s">
        <v>119</v>
      </c>
      <c r="CQ1339">
        <v>216</v>
      </c>
      <c r="CR1339">
        <v>0</v>
      </c>
      <c r="CW1339">
        <v>918777</v>
      </c>
      <c r="CY1339">
        <v>1</v>
      </c>
      <c r="CZ1339">
        <v>0</v>
      </c>
      <c r="DA1339">
        <v>1</v>
      </c>
      <c r="DB1339">
        <v>0</v>
      </c>
      <c r="DC1339">
        <v>0</v>
      </c>
      <c r="DD1339">
        <v>1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"12/16/2021 14:50:21.539"</f>
        <v>12/16/2021 14:50:21.539</v>
      </c>
      <c r="C1340" t="str">
        <f t="shared" si="66"/>
        <v>FFDFD3C0</v>
      </c>
      <c r="D1340" t="s">
        <v>113</v>
      </c>
      <c r="E1340">
        <v>8</v>
      </c>
      <c r="H1340">
        <v>176</v>
      </c>
      <c r="I1340" t="s">
        <v>114</v>
      </c>
      <c r="J1340" t="s">
        <v>115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"14:50:21.344"</f>
        <v>14:50:21.344</v>
      </c>
      <c r="T1340" t="str">
        <f t="shared" si="68"/>
        <v>14:50:20.844</v>
      </c>
      <c r="U1340" t="str">
        <f t="shared" si="62"/>
        <v>A0F928</v>
      </c>
      <c r="V1340">
        <v>0</v>
      </c>
      <c r="W1340">
        <v>0</v>
      </c>
      <c r="X1340">
        <v>2</v>
      </c>
      <c r="Z1340">
        <v>0</v>
      </c>
      <c r="AA1340">
        <v>9</v>
      </c>
      <c r="AB1340">
        <v>3</v>
      </c>
      <c r="AC1340">
        <v>0</v>
      </c>
      <c r="AD1340">
        <v>10</v>
      </c>
      <c r="AE1340">
        <v>0</v>
      </c>
      <c r="AF1340">
        <v>3</v>
      </c>
      <c r="AG1340">
        <v>2</v>
      </c>
      <c r="AH1340">
        <v>1</v>
      </c>
      <c r="AI1340" t="s">
        <v>748</v>
      </c>
      <c r="AJ1340">
        <v>35.785260000000001</v>
      </c>
      <c r="AK1340" t="s">
        <v>749</v>
      </c>
      <c r="AL1340">
        <v>-84.025841</v>
      </c>
      <c r="AM1340">
        <v>25</v>
      </c>
      <c r="AN1340">
        <v>1525</v>
      </c>
      <c r="AO1340" t="s">
        <v>118</v>
      </c>
      <c r="AP1340">
        <v>-135</v>
      </c>
      <c r="AQ1340">
        <v>-32</v>
      </c>
      <c r="AR1340">
        <v>960</v>
      </c>
      <c r="AZ1340">
        <v>300</v>
      </c>
      <c r="BA1340">
        <v>1</v>
      </c>
      <c r="BB1340" t="str">
        <f t="shared" si="67"/>
        <v xml:space="preserve">N162AM  </v>
      </c>
      <c r="BC1340">
        <v>1</v>
      </c>
      <c r="BE1340">
        <v>0</v>
      </c>
      <c r="BF1340">
        <v>0</v>
      </c>
      <c r="BG1340">
        <v>0</v>
      </c>
      <c r="BH1340">
        <v>1775</v>
      </c>
      <c r="BI1340">
        <v>1</v>
      </c>
      <c r="BJ1340">
        <v>1</v>
      </c>
      <c r="BK1340">
        <v>1</v>
      </c>
      <c r="BL1340">
        <v>0</v>
      </c>
      <c r="BO1340">
        <v>0</v>
      </c>
      <c r="BP1340">
        <v>0</v>
      </c>
      <c r="BW1340" t="str">
        <f>"14:50:21.345"</f>
        <v>14:50:21.345</v>
      </c>
      <c r="CJ1340">
        <v>3</v>
      </c>
      <c r="CK1340">
        <v>2</v>
      </c>
      <c r="CL1340">
        <v>0</v>
      </c>
      <c r="CM1340">
        <v>2</v>
      </c>
      <c r="CN1340">
        <v>0</v>
      </c>
      <c r="CO1340">
        <v>3</v>
      </c>
      <c r="CP1340" t="s">
        <v>119</v>
      </c>
      <c r="CQ1340">
        <v>216</v>
      </c>
      <c r="CR1340">
        <v>0</v>
      </c>
      <c r="CW1340">
        <v>918777</v>
      </c>
      <c r="CY1340">
        <v>1</v>
      </c>
      <c r="CZ1340">
        <v>0</v>
      </c>
      <c r="DA1340">
        <v>1</v>
      </c>
      <c r="DB1340">
        <v>0</v>
      </c>
      <c r="DC1340">
        <v>0</v>
      </c>
      <c r="DD1340">
        <v>1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"12/16/2021 14:50:21.601"</f>
        <v>12/16/2021 14:50:21.601</v>
      </c>
      <c r="C1341" t="str">
        <f t="shared" si="66"/>
        <v>FFDFD3C0</v>
      </c>
      <c r="D1341" t="s">
        <v>133</v>
      </c>
      <c r="E1341">
        <v>44</v>
      </c>
      <c r="H1341">
        <v>131</v>
      </c>
      <c r="I1341" t="s">
        <v>134</v>
      </c>
      <c r="J1341" t="s">
        <v>135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"14:50:21.344"</f>
        <v>14:50:21.344</v>
      </c>
      <c r="T1341" t="str">
        <f t="shared" si="68"/>
        <v>14:50:20.844</v>
      </c>
      <c r="U1341" t="str">
        <f t="shared" si="62"/>
        <v>A0F928</v>
      </c>
      <c r="V1341">
        <v>0</v>
      </c>
      <c r="W1341">
        <v>0</v>
      </c>
      <c r="X1341">
        <v>2</v>
      </c>
      <c r="Z1341">
        <v>0</v>
      </c>
      <c r="AA1341">
        <v>9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2</v>
      </c>
      <c r="AH1341">
        <v>1</v>
      </c>
      <c r="AI1341" t="s">
        <v>748</v>
      </c>
      <c r="AJ1341">
        <v>35.785260000000001</v>
      </c>
      <c r="AK1341" t="s">
        <v>749</v>
      </c>
      <c r="AL1341">
        <v>-84.025841</v>
      </c>
      <c r="AM1341">
        <v>25</v>
      </c>
      <c r="AN1341">
        <v>1525</v>
      </c>
      <c r="AO1341" t="s">
        <v>118</v>
      </c>
      <c r="AP1341">
        <v>-135</v>
      </c>
      <c r="AQ1341">
        <v>-32</v>
      </c>
      <c r="AR1341">
        <v>960</v>
      </c>
      <c r="AZ1341">
        <v>300</v>
      </c>
      <c r="BA1341">
        <v>1</v>
      </c>
      <c r="BB1341" t="str">
        <f t="shared" si="67"/>
        <v xml:space="preserve">N162AM  </v>
      </c>
      <c r="BC1341">
        <v>1</v>
      </c>
      <c r="BE1341">
        <v>0</v>
      </c>
      <c r="BF1341">
        <v>0</v>
      </c>
      <c r="BG1341">
        <v>0</v>
      </c>
      <c r="BH1341">
        <v>1775</v>
      </c>
      <c r="BI1341">
        <v>1</v>
      </c>
      <c r="BJ1341">
        <v>1</v>
      </c>
      <c r="BK1341">
        <v>1</v>
      </c>
      <c r="BL1341">
        <v>0</v>
      </c>
      <c r="BO1341">
        <v>0</v>
      </c>
      <c r="BP1341">
        <v>0</v>
      </c>
      <c r="BW1341" t="str">
        <f>"14:50:21.345"</f>
        <v>14:50:21.345</v>
      </c>
      <c r="CJ1341">
        <v>3</v>
      </c>
      <c r="CK1341">
        <v>2</v>
      </c>
      <c r="CL1341">
        <v>0</v>
      </c>
      <c r="CM1341">
        <v>2</v>
      </c>
      <c r="CN1341">
        <v>0</v>
      </c>
      <c r="CO1341">
        <v>3</v>
      </c>
      <c r="CP1341" t="s">
        <v>119</v>
      </c>
      <c r="CQ1341">
        <v>216</v>
      </c>
      <c r="CR1341">
        <v>0</v>
      </c>
      <c r="CW1341">
        <v>918777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1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"12/16/2021 14:50:22.336"</f>
        <v>12/16/2021 14:50:22.336</v>
      </c>
      <c r="C1342" t="str">
        <f t="shared" si="66"/>
        <v>FFDFD3C0</v>
      </c>
      <c r="D1342" t="s">
        <v>124</v>
      </c>
      <c r="E1342">
        <v>5</v>
      </c>
      <c r="F1342">
        <v>1005</v>
      </c>
      <c r="G1342" t="s">
        <v>114</v>
      </c>
      <c r="J1342" t="s">
        <v>125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"14:50:21.844"</f>
        <v>14:50:21.844</v>
      </c>
      <c r="T1342" t="str">
        <f t="shared" si="68"/>
        <v>14:50:20.844</v>
      </c>
      <c r="U1342" t="str">
        <f t="shared" si="62"/>
        <v>A0F928</v>
      </c>
      <c r="V1342">
        <v>0</v>
      </c>
      <c r="W1342">
        <v>0</v>
      </c>
      <c r="X1342">
        <v>2</v>
      </c>
      <c r="Z1342">
        <v>0</v>
      </c>
      <c r="AA1342">
        <v>9</v>
      </c>
      <c r="AB1342">
        <v>3</v>
      </c>
      <c r="AC1342">
        <v>0</v>
      </c>
      <c r="AD1342">
        <v>10</v>
      </c>
      <c r="AE1342">
        <v>0</v>
      </c>
      <c r="AF1342">
        <v>3</v>
      </c>
      <c r="AH1342">
        <v>1</v>
      </c>
      <c r="AI1342" t="s">
        <v>750</v>
      </c>
      <c r="AJ1342">
        <v>35.785217000000003</v>
      </c>
      <c r="AK1342" t="s">
        <v>751</v>
      </c>
      <c r="AL1342">
        <v>-84.026247999999995</v>
      </c>
      <c r="AM1342">
        <v>25</v>
      </c>
      <c r="AN1342">
        <v>1525</v>
      </c>
      <c r="AO1342" t="s">
        <v>118</v>
      </c>
      <c r="AP1342">
        <v>-135</v>
      </c>
      <c r="AQ1342">
        <v>-32</v>
      </c>
      <c r="AR1342">
        <v>960</v>
      </c>
      <c r="AZ1342">
        <v>300</v>
      </c>
      <c r="BA1342">
        <v>1</v>
      </c>
      <c r="BB1342" t="str">
        <f t="shared" si="67"/>
        <v xml:space="preserve">N162AM  </v>
      </c>
      <c r="BC1342">
        <v>1</v>
      </c>
      <c r="BE1342">
        <v>0</v>
      </c>
      <c r="BF1342">
        <v>0</v>
      </c>
      <c r="BG1342">
        <v>0</v>
      </c>
      <c r="BH1342">
        <v>1775</v>
      </c>
      <c r="BI1342">
        <v>1</v>
      </c>
      <c r="BJ1342">
        <v>1</v>
      </c>
      <c r="BK1342">
        <v>1</v>
      </c>
      <c r="BL1342">
        <v>0</v>
      </c>
      <c r="BO1342">
        <v>0</v>
      </c>
      <c r="BP1342">
        <v>0</v>
      </c>
      <c r="BW1342" t="str">
        <f>"14:50:21.850"</f>
        <v>14:50:21.850</v>
      </c>
      <c r="CJ1342">
        <v>3</v>
      </c>
      <c r="CK1342">
        <v>2</v>
      </c>
      <c r="CL1342">
        <v>0</v>
      </c>
      <c r="CM1342">
        <v>2</v>
      </c>
      <c r="CN1342">
        <v>0</v>
      </c>
      <c r="CO1342">
        <v>1</v>
      </c>
      <c r="CP1342" t="s">
        <v>119</v>
      </c>
      <c r="CQ1342">
        <v>216</v>
      </c>
      <c r="CR1342">
        <v>1</v>
      </c>
      <c r="CW1342">
        <v>1955474</v>
      </c>
      <c r="CY1342">
        <v>1</v>
      </c>
      <c r="CZ1342">
        <v>0</v>
      </c>
      <c r="DA1342">
        <v>0</v>
      </c>
      <c r="DB1342">
        <v>0</v>
      </c>
      <c r="DC1342">
        <v>0</v>
      </c>
      <c r="DD1342">
        <v>1</v>
      </c>
      <c r="DE1342">
        <v>1</v>
      </c>
      <c r="DF1342">
        <v>1</v>
      </c>
      <c r="DG1342">
        <v>0</v>
      </c>
      <c r="DH1342">
        <v>0</v>
      </c>
      <c r="DI1342">
        <v>0</v>
      </c>
    </row>
    <row r="1343" spans="1:113" x14ac:dyDescent="0.3">
      <c r="A1343" t="str">
        <f>"12/16/2021 14:50:22.336"</f>
        <v>12/16/2021 14:50:22.336</v>
      </c>
      <c r="C1343" t="str">
        <f t="shared" si="66"/>
        <v>FFDFD3C0</v>
      </c>
      <c r="D1343" t="s">
        <v>133</v>
      </c>
      <c r="E1343">
        <v>44</v>
      </c>
      <c r="H1343">
        <v>131</v>
      </c>
      <c r="I1343" t="s">
        <v>134</v>
      </c>
      <c r="J1343" t="s">
        <v>135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"14:50:21.844"</f>
        <v>14:50:21.844</v>
      </c>
      <c r="T1343" t="str">
        <f t="shared" si="68"/>
        <v>14:50:20.844</v>
      </c>
      <c r="U1343" t="str">
        <f t="shared" si="62"/>
        <v>A0F928</v>
      </c>
      <c r="V1343">
        <v>0</v>
      </c>
      <c r="W1343">
        <v>0</v>
      </c>
      <c r="X1343">
        <v>2</v>
      </c>
      <c r="Z1343">
        <v>0</v>
      </c>
      <c r="AA1343">
        <v>9</v>
      </c>
      <c r="AB1343">
        <v>3</v>
      </c>
      <c r="AC1343">
        <v>0</v>
      </c>
      <c r="AD1343">
        <v>10</v>
      </c>
      <c r="AE1343">
        <v>0</v>
      </c>
      <c r="AF1343">
        <v>3</v>
      </c>
      <c r="AH1343">
        <v>1</v>
      </c>
      <c r="AI1343" t="s">
        <v>750</v>
      </c>
      <c r="AJ1343">
        <v>35.785217000000003</v>
      </c>
      <c r="AK1343" t="s">
        <v>751</v>
      </c>
      <c r="AL1343">
        <v>-84.026247999999995</v>
      </c>
      <c r="AM1343">
        <v>25</v>
      </c>
      <c r="AN1343">
        <v>1525</v>
      </c>
      <c r="AO1343" t="s">
        <v>118</v>
      </c>
      <c r="AP1343">
        <v>-135</v>
      </c>
      <c r="AQ1343">
        <v>-32</v>
      </c>
      <c r="AR1343">
        <v>960</v>
      </c>
      <c r="AZ1343">
        <v>300</v>
      </c>
      <c r="BA1343">
        <v>1</v>
      </c>
      <c r="BB1343" t="str">
        <f t="shared" si="67"/>
        <v xml:space="preserve">N162AM  </v>
      </c>
      <c r="BC1343">
        <v>1</v>
      </c>
      <c r="BE1343">
        <v>0</v>
      </c>
      <c r="BF1343">
        <v>0</v>
      </c>
      <c r="BG1343">
        <v>0</v>
      </c>
      <c r="BH1343">
        <v>1775</v>
      </c>
      <c r="BI1343">
        <v>1</v>
      </c>
      <c r="BJ1343">
        <v>1</v>
      </c>
      <c r="BK1343">
        <v>1</v>
      </c>
      <c r="BL1343">
        <v>0</v>
      </c>
      <c r="BO1343">
        <v>0</v>
      </c>
      <c r="BP1343">
        <v>0</v>
      </c>
      <c r="BW1343" t="str">
        <f>"14:50:21.850"</f>
        <v>14:50:21.850</v>
      </c>
      <c r="CJ1343">
        <v>3</v>
      </c>
      <c r="CK1343">
        <v>2</v>
      </c>
      <c r="CL1343">
        <v>0</v>
      </c>
      <c r="CM1343">
        <v>2</v>
      </c>
      <c r="CN1343">
        <v>0</v>
      </c>
      <c r="CO1343">
        <v>1</v>
      </c>
      <c r="CP1343" t="s">
        <v>119</v>
      </c>
      <c r="CQ1343">
        <v>216</v>
      </c>
      <c r="CR1343">
        <v>1</v>
      </c>
      <c r="CW1343">
        <v>1955474</v>
      </c>
      <c r="CY1343">
        <v>1</v>
      </c>
      <c r="CZ1343">
        <v>0</v>
      </c>
      <c r="DA1343">
        <v>1</v>
      </c>
      <c r="DB1343">
        <v>0</v>
      </c>
      <c r="DC1343">
        <v>0</v>
      </c>
      <c r="DD1343">
        <v>1</v>
      </c>
      <c r="DE1343">
        <v>1</v>
      </c>
      <c r="DF1343">
        <v>1</v>
      </c>
      <c r="DG1343">
        <v>0</v>
      </c>
      <c r="DH1343">
        <v>0</v>
      </c>
      <c r="DI1343">
        <v>0</v>
      </c>
    </row>
    <row r="1344" spans="1:113" x14ac:dyDescent="0.3">
      <c r="A1344" t="str">
        <f>"12/16/2021 14:50:22.351"</f>
        <v>12/16/2021 14:50:22.351</v>
      </c>
      <c r="C1344" t="str">
        <f t="shared" si="66"/>
        <v>FFDFD3C0</v>
      </c>
      <c r="D1344" t="s">
        <v>124</v>
      </c>
      <c r="E1344">
        <v>10</v>
      </c>
      <c r="F1344">
        <v>1010</v>
      </c>
      <c r="G1344" t="s">
        <v>130</v>
      </c>
      <c r="J1344" t="s">
        <v>125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"14:50:21.844"</f>
        <v>14:50:21.844</v>
      </c>
      <c r="T1344" t="str">
        <f t="shared" si="68"/>
        <v>14:50:20.844</v>
      </c>
      <c r="U1344" t="str">
        <f t="shared" si="62"/>
        <v>A0F928</v>
      </c>
      <c r="V1344">
        <v>0</v>
      </c>
      <c r="W1344">
        <v>0</v>
      </c>
      <c r="X1344">
        <v>2</v>
      </c>
      <c r="Z1344">
        <v>0</v>
      </c>
      <c r="AA1344">
        <v>9</v>
      </c>
      <c r="AB1344">
        <v>3</v>
      </c>
      <c r="AC1344">
        <v>0</v>
      </c>
      <c r="AD1344">
        <v>10</v>
      </c>
      <c r="AE1344">
        <v>0</v>
      </c>
      <c r="AF1344">
        <v>0</v>
      </c>
      <c r="AH1344">
        <v>1</v>
      </c>
      <c r="AI1344" t="s">
        <v>750</v>
      </c>
      <c r="AJ1344">
        <v>35.785217000000003</v>
      </c>
      <c r="AK1344" t="s">
        <v>751</v>
      </c>
      <c r="AL1344">
        <v>-84.026247999999995</v>
      </c>
      <c r="AM1344">
        <v>25</v>
      </c>
      <c r="AN1344">
        <v>1525</v>
      </c>
      <c r="AO1344" t="s">
        <v>118</v>
      </c>
      <c r="AP1344">
        <v>-135</v>
      </c>
      <c r="AQ1344">
        <v>-32</v>
      </c>
      <c r="AR1344">
        <v>960</v>
      </c>
      <c r="AZ1344">
        <v>300</v>
      </c>
      <c r="BA1344">
        <v>1</v>
      </c>
      <c r="BB1344" t="str">
        <f t="shared" si="67"/>
        <v xml:space="preserve">N162AM  </v>
      </c>
      <c r="BC1344">
        <v>1</v>
      </c>
      <c r="BE1344">
        <v>0</v>
      </c>
      <c r="BF1344">
        <v>0</v>
      </c>
      <c r="BG1344">
        <v>0</v>
      </c>
      <c r="BH1344">
        <v>1775</v>
      </c>
      <c r="BI1344">
        <v>1</v>
      </c>
      <c r="BJ1344">
        <v>1</v>
      </c>
      <c r="BK1344">
        <v>1</v>
      </c>
      <c r="BL1344">
        <v>0</v>
      </c>
      <c r="BO1344">
        <v>0</v>
      </c>
      <c r="BP1344">
        <v>0</v>
      </c>
      <c r="BW1344" t="str">
        <f>"14:50:21.850"</f>
        <v>14:50:21.850</v>
      </c>
      <c r="CJ1344">
        <v>2</v>
      </c>
      <c r="CK1344">
        <v>2</v>
      </c>
      <c r="CL1344">
        <v>0</v>
      </c>
      <c r="CM1344">
        <v>2</v>
      </c>
      <c r="CN1344">
        <v>0</v>
      </c>
      <c r="CO1344">
        <v>1</v>
      </c>
      <c r="CP1344" t="s">
        <v>119</v>
      </c>
      <c r="CQ1344">
        <v>216</v>
      </c>
      <c r="CR1344">
        <v>1</v>
      </c>
      <c r="CW1344">
        <v>1955474</v>
      </c>
      <c r="CY1344">
        <v>1</v>
      </c>
      <c r="CZ1344">
        <v>0</v>
      </c>
      <c r="DA1344">
        <v>1</v>
      </c>
      <c r="DB1344">
        <v>0</v>
      </c>
      <c r="DC1344">
        <v>0</v>
      </c>
      <c r="DD1344">
        <v>1</v>
      </c>
      <c r="DE1344">
        <v>1</v>
      </c>
      <c r="DF1344">
        <v>1</v>
      </c>
      <c r="DG1344">
        <v>0</v>
      </c>
      <c r="DH1344">
        <v>0</v>
      </c>
      <c r="DI1344">
        <v>0</v>
      </c>
    </row>
    <row r="1345" spans="1:113" x14ac:dyDescent="0.3">
      <c r="A1345" t="str">
        <f>"12/16/2021 14:50:22.351"</f>
        <v>12/16/2021 14:50:22.351</v>
      </c>
      <c r="C1345" t="str">
        <f t="shared" si="66"/>
        <v>FFDFD3C0</v>
      </c>
      <c r="D1345" t="s">
        <v>113</v>
      </c>
      <c r="E1345">
        <v>8</v>
      </c>
      <c r="H1345">
        <v>176</v>
      </c>
      <c r="I1345" t="s">
        <v>114</v>
      </c>
      <c r="J1345" t="s">
        <v>115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>"14:50:21.844"</f>
        <v>14:50:21.844</v>
      </c>
      <c r="T1345" t="str">
        <f t="shared" si="68"/>
        <v>14:50:20.844</v>
      </c>
      <c r="U1345" t="str">
        <f t="shared" si="62"/>
        <v>A0F928</v>
      </c>
      <c r="V1345">
        <v>0</v>
      </c>
      <c r="W1345">
        <v>0</v>
      </c>
      <c r="X1345">
        <v>2</v>
      </c>
      <c r="Z1345">
        <v>0</v>
      </c>
      <c r="AA1345">
        <v>9</v>
      </c>
      <c r="AB1345">
        <v>3</v>
      </c>
      <c r="AC1345">
        <v>0</v>
      </c>
      <c r="AD1345">
        <v>10</v>
      </c>
      <c r="AE1345">
        <v>0</v>
      </c>
      <c r="AF1345">
        <v>3</v>
      </c>
      <c r="AH1345">
        <v>1</v>
      </c>
      <c r="AI1345" t="s">
        <v>750</v>
      </c>
      <c r="AJ1345">
        <v>35.785217000000003</v>
      </c>
      <c r="AK1345" t="s">
        <v>751</v>
      </c>
      <c r="AL1345">
        <v>-84.026247999999995</v>
      </c>
      <c r="AM1345">
        <v>25</v>
      </c>
      <c r="AN1345">
        <v>1525</v>
      </c>
      <c r="AO1345" t="s">
        <v>118</v>
      </c>
      <c r="AP1345">
        <v>-135</v>
      </c>
      <c r="AQ1345">
        <v>-32</v>
      </c>
      <c r="AR1345">
        <v>960</v>
      </c>
      <c r="AZ1345">
        <v>300</v>
      </c>
      <c r="BA1345">
        <v>1</v>
      </c>
      <c r="BB1345" t="str">
        <f t="shared" si="67"/>
        <v xml:space="preserve">N162AM  </v>
      </c>
      <c r="BC1345">
        <v>1</v>
      </c>
      <c r="BE1345">
        <v>0</v>
      </c>
      <c r="BF1345">
        <v>0</v>
      </c>
      <c r="BG1345">
        <v>0</v>
      </c>
      <c r="BH1345">
        <v>1775</v>
      </c>
      <c r="BI1345">
        <v>1</v>
      </c>
      <c r="BJ1345">
        <v>1</v>
      </c>
      <c r="BK1345">
        <v>1</v>
      </c>
      <c r="BL1345">
        <v>0</v>
      </c>
      <c r="BO1345">
        <v>0</v>
      </c>
      <c r="BP1345">
        <v>0</v>
      </c>
      <c r="BW1345" t="str">
        <f>"14:50:21.850"</f>
        <v>14:50:21.850</v>
      </c>
      <c r="CJ1345">
        <v>3</v>
      </c>
      <c r="CK1345">
        <v>2</v>
      </c>
      <c r="CL1345">
        <v>0</v>
      </c>
      <c r="CM1345">
        <v>2</v>
      </c>
      <c r="CN1345">
        <v>0</v>
      </c>
      <c r="CO1345">
        <v>1</v>
      </c>
      <c r="CP1345" t="s">
        <v>119</v>
      </c>
      <c r="CQ1345">
        <v>216</v>
      </c>
      <c r="CR1345">
        <v>1</v>
      </c>
      <c r="CW1345">
        <v>1955474</v>
      </c>
      <c r="CY1345">
        <v>1</v>
      </c>
      <c r="CZ1345">
        <v>0</v>
      </c>
      <c r="DA1345">
        <v>1</v>
      </c>
      <c r="DB1345">
        <v>0</v>
      </c>
      <c r="DC1345">
        <v>0</v>
      </c>
      <c r="DD1345">
        <v>1</v>
      </c>
      <c r="DE1345">
        <v>1</v>
      </c>
      <c r="DF1345">
        <v>1</v>
      </c>
      <c r="DG1345">
        <v>0</v>
      </c>
      <c r="DH1345">
        <v>0</v>
      </c>
      <c r="DI1345">
        <v>0</v>
      </c>
    </row>
    <row r="1346" spans="1:113" x14ac:dyDescent="0.3">
      <c r="A1346" t="str">
        <f>"12/16/2021 14:50:23.695"</f>
        <v>12/16/2021 14:50:23.695</v>
      </c>
      <c r="C1346" t="str">
        <f t="shared" si="66"/>
        <v>FFDFD3C0</v>
      </c>
      <c r="D1346" t="s">
        <v>133</v>
      </c>
      <c r="E1346">
        <v>44</v>
      </c>
      <c r="H1346">
        <v>131</v>
      </c>
      <c r="I1346" t="s">
        <v>134</v>
      </c>
      <c r="J1346" t="s">
        <v>135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>"14:50:23.461"</f>
        <v>14:50:23.461</v>
      </c>
      <c r="T1346" t="str">
        <f>"14:50:22.961"</f>
        <v>14:50:22.961</v>
      </c>
      <c r="U1346" t="str">
        <f t="shared" ref="U1346:U1409" si="69">"A0F928"</f>
        <v>A0F928</v>
      </c>
      <c r="V1346">
        <v>0</v>
      </c>
      <c r="W1346">
        <v>0</v>
      </c>
      <c r="X1346">
        <v>2</v>
      </c>
      <c r="Z1346">
        <v>0</v>
      </c>
      <c r="AA1346">
        <v>9</v>
      </c>
      <c r="AB1346">
        <v>3</v>
      </c>
      <c r="AC1346">
        <v>0</v>
      </c>
      <c r="AD1346">
        <v>10</v>
      </c>
      <c r="AE1346">
        <v>0</v>
      </c>
      <c r="AF1346">
        <v>3</v>
      </c>
      <c r="AG1346">
        <v>2</v>
      </c>
      <c r="AH1346">
        <v>1</v>
      </c>
      <c r="AI1346" t="s">
        <v>752</v>
      </c>
      <c r="AJ1346">
        <v>35.785066999999998</v>
      </c>
      <c r="AK1346" t="s">
        <v>753</v>
      </c>
      <c r="AL1346">
        <v>-84.027579000000003</v>
      </c>
      <c r="AM1346">
        <v>25</v>
      </c>
      <c r="AN1346">
        <v>1550</v>
      </c>
      <c r="AO1346" t="s">
        <v>118</v>
      </c>
      <c r="AP1346">
        <v>-139</v>
      </c>
      <c r="AQ1346">
        <v>-17</v>
      </c>
      <c r="AR1346">
        <v>896</v>
      </c>
      <c r="AZ1346">
        <v>300</v>
      </c>
      <c r="BA1346">
        <v>1</v>
      </c>
      <c r="BB1346" t="str">
        <f t="shared" si="67"/>
        <v xml:space="preserve">N162AM  </v>
      </c>
      <c r="BC1346">
        <v>1</v>
      </c>
      <c r="BE1346">
        <v>0</v>
      </c>
      <c r="BF1346">
        <v>0</v>
      </c>
      <c r="BG1346">
        <v>0</v>
      </c>
      <c r="BH1346">
        <v>1825</v>
      </c>
      <c r="BI1346">
        <v>1</v>
      </c>
      <c r="BJ1346">
        <v>1</v>
      </c>
      <c r="BK1346">
        <v>1</v>
      </c>
      <c r="BL1346">
        <v>0</v>
      </c>
      <c r="BO1346">
        <v>0</v>
      </c>
      <c r="BP1346">
        <v>0</v>
      </c>
      <c r="BW1346" t="str">
        <f>"14:50:23.462"</f>
        <v>14:50:23.462</v>
      </c>
      <c r="CJ1346">
        <v>3</v>
      </c>
      <c r="CK1346">
        <v>2</v>
      </c>
      <c r="CL1346">
        <v>0</v>
      </c>
      <c r="CM1346">
        <v>2</v>
      </c>
      <c r="CN1346">
        <v>0</v>
      </c>
      <c r="CO1346">
        <v>5</v>
      </c>
      <c r="CP1346" t="s">
        <v>119</v>
      </c>
      <c r="CQ1346">
        <v>232</v>
      </c>
      <c r="CR1346">
        <v>1</v>
      </c>
      <c r="CW1346">
        <v>15536706</v>
      </c>
      <c r="CY1346">
        <v>1</v>
      </c>
      <c r="CZ1346">
        <v>0</v>
      </c>
      <c r="DA1346">
        <v>0</v>
      </c>
      <c r="DB1346">
        <v>0</v>
      </c>
      <c r="DC1346">
        <v>0</v>
      </c>
      <c r="DD1346">
        <v>1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"12/16/2021 14:50:23.695"</f>
        <v>12/16/2021 14:50:23.695</v>
      </c>
      <c r="C1347" t="str">
        <f t="shared" si="66"/>
        <v>FFDFD3C0</v>
      </c>
      <c r="D1347" t="s">
        <v>124</v>
      </c>
      <c r="E1347">
        <v>5</v>
      </c>
      <c r="F1347">
        <v>1005</v>
      </c>
      <c r="G1347" t="s">
        <v>114</v>
      </c>
      <c r="J1347" t="s">
        <v>125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>"14:50:23.461"</f>
        <v>14:50:23.461</v>
      </c>
      <c r="T1347" t="str">
        <f>"14:50:22.961"</f>
        <v>14:50:22.961</v>
      </c>
      <c r="U1347" t="str">
        <f t="shared" si="69"/>
        <v>A0F928</v>
      </c>
      <c r="V1347">
        <v>0</v>
      </c>
      <c r="W1347">
        <v>0</v>
      </c>
      <c r="X1347">
        <v>2</v>
      </c>
      <c r="Z1347">
        <v>0</v>
      </c>
      <c r="AA1347">
        <v>9</v>
      </c>
      <c r="AB1347">
        <v>3</v>
      </c>
      <c r="AC1347">
        <v>0</v>
      </c>
      <c r="AD1347">
        <v>10</v>
      </c>
      <c r="AE1347">
        <v>0</v>
      </c>
      <c r="AF1347">
        <v>3</v>
      </c>
      <c r="AG1347">
        <v>2</v>
      </c>
      <c r="AH1347">
        <v>1</v>
      </c>
      <c r="AI1347" t="s">
        <v>752</v>
      </c>
      <c r="AJ1347">
        <v>35.785066999999998</v>
      </c>
      <c r="AK1347" t="s">
        <v>753</v>
      </c>
      <c r="AL1347">
        <v>-84.027579000000003</v>
      </c>
      <c r="AM1347">
        <v>25</v>
      </c>
      <c r="AN1347">
        <v>1550</v>
      </c>
      <c r="AO1347" t="s">
        <v>118</v>
      </c>
      <c r="AP1347">
        <v>-139</v>
      </c>
      <c r="AQ1347">
        <v>-17</v>
      </c>
      <c r="AR1347">
        <v>896</v>
      </c>
      <c r="AZ1347">
        <v>300</v>
      </c>
      <c r="BA1347">
        <v>1</v>
      </c>
      <c r="BB1347" t="str">
        <f t="shared" si="67"/>
        <v xml:space="preserve">N162AM  </v>
      </c>
      <c r="BC1347">
        <v>1</v>
      </c>
      <c r="BE1347">
        <v>0</v>
      </c>
      <c r="BF1347">
        <v>0</v>
      </c>
      <c r="BG1347">
        <v>0</v>
      </c>
      <c r="BH1347">
        <v>1825</v>
      </c>
      <c r="BI1347">
        <v>1</v>
      </c>
      <c r="BJ1347">
        <v>1</v>
      </c>
      <c r="BK1347">
        <v>1</v>
      </c>
      <c r="BL1347">
        <v>0</v>
      </c>
      <c r="BO1347">
        <v>0</v>
      </c>
      <c r="BP1347">
        <v>0</v>
      </c>
      <c r="BW1347" t="str">
        <f>"14:50:23.462"</f>
        <v>14:50:23.462</v>
      </c>
      <c r="CJ1347">
        <v>3</v>
      </c>
      <c r="CK1347">
        <v>2</v>
      </c>
      <c r="CL1347">
        <v>0</v>
      </c>
      <c r="CM1347">
        <v>2</v>
      </c>
      <c r="CN1347">
        <v>0</v>
      </c>
      <c r="CO1347">
        <v>5</v>
      </c>
      <c r="CP1347" t="s">
        <v>119</v>
      </c>
      <c r="CQ1347">
        <v>232</v>
      </c>
      <c r="CR1347">
        <v>1</v>
      </c>
      <c r="CW1347">
        <v>15536706</v>
      </c>
      <c r="CY1347">
        <v>1</v>
      </c>
      <c r="CZ1347">
        <v>0</v>
      </c>
      <c r="DA1347">
        <v>1</v>
      </c>
      <c r="DB1347">
        <v>0</v>
      </c>
      <c r="DC1347">
        <v>0</v>
      </c>
      <c r="DD1347">
        <v>1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"12/16/2021 14:50:23.695"</f>
        <v>12/16/2021 14:50:23.695</v>
      </c>
      <c r="C1348" t="str">
        <f t="shared" si="66"/>
        <v>FFDFD3C0</v>
      </c>
      <c r="D1348" t="s">
        <v>124</v>
      </c>
      <c r="E1348">
        <v>10</v>
      </c>
      <c r="F1348">
        <v>1010</v>
      </c>
      <c r="G1348" t="s">
        <v>130</v>
      </c>
      <c r="J1348" t="s">
        <v>125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"14:50:23.461"</f>
        <v>14:50:23.461</v>
      </c>
      <c r="T1348" t="str">
        <f>"14:50:22.961"</f>
        <v>14:50:22.961</v>
      </c>
      <c r="U1348" t="str">
        <f t="shared" si="69"/>
        <v>A0F928</v>
      </c>
      <c r="V1348">
        <v>0</v>
      </c>
      <c r="W1348">
        <v>0</v>
      </c>
      <c r="X1348">
        <v>2</v>
      </c>
      <c r="Z1348">
        <v>0</v>
      </c>
      <c r="AA1348">
        <v>9</v>
      </c>
      <c r="AB1348">
        <v>3</v>
      </c>
      <c r="AC1348">
        <v>0</v>
      </c>
      <c r="AD1348">
        <v>10</v>
      </c>
      <c r="AE1348">
        <v>0</v>
      </c>
      <c r="AF1348">
        <v>0</v>
      </c>
      <c r="AG1348">
        <v>2</v>
      </c>
      <c r="AH1348">
        <v>1</v>
      </c>
      <c r="AI1348" t="s">
        <v>752</v>
      </c>
      <c r="AJ1348">
        <v>35.785066999999998</v>
      </c>
      <c r="AK1348" t="s">
        <v>753</v>
      </c>
      <c r="AL1348">
        <v>-84.027579000000003</v>
      </c>
      <c r="AM1348">
        <v>25</v>
      </c>
      <c r="AN1348">
        <v>1550</v>
      </c>
      <c r="AO1348" t="s">
        <v>118</v>
      </c>
      <c r="AP1348">
        <v>-139</v>
      </c>
      <c r="AQ1348">
        <v>-17</v>
      </c>
      <c r="AR1348">
        <v>896</v>
      </c>
      <c r="AZ1348">
        <v>300</v>
      </c>
      <c r="BA1348">
        <v>1</v>
      </c>
      <c r="BB1348" t="str">
        <f t="shared" si="67"/>
        <v xml:space="preserve">N162AM  </v>
      </c>
      <c r="BC1348">
        <v>1</v>
      </c>
      <c r="BE1348">
        <v>0</v>
      </c>
      <c r="BF1348">
        <v>0</v>
      </c>
      <c r="BG1348">
        <v>0</v>
      </c>
      <c r="BH1348">
        <v>1825</v>
      </c>
      <c r="BI1348">
        <v>1</v>
      </c>
      <c r="BJ1348">
        <v>1</v>
      </c>
      <c r="BK1348">
        <v>1</v>
      </c>
      <c r="BL1348">
        <v>0</v>
      </c>
      <c r="BO1348">
        <v>0</v>
      </c>
      <c r="BP1348">
        <v>0</v>
      </c>
      <c r="BW1348" t="str">
        <f>"14:50:23.462"</f>
        <v>14:50:23.462</v>
      </c>
      <c r="CJ1348">
        <v>2</v>
      </c>
      <c r="CK1348">
        <v>2</v>
      </c>
      <c r="CL1348">
        <v>0</v>
      </c>
      <c r="CM1348">
        <v>2</v>
      </c>
      <c r="CN1348">
        <v>0</v>
      </c>
      <c r="CO1348">
        <v>5</v>
      </c>
      <c r="CP1348" t="s">
        <v>119</v>
      </c>
      <c r="CQ1348">
        <v>232</v>
      </c>
      <c r="CR1348">
        <v>1</v>
      </c>
      <c r="CW1348">
        <v>15536706</v>
      </c>
      <c r="CY1348">
        <v>1</v>
      </c>
      <c r="CZ1348">
        <v>0</v>
      </c>
      <c r="DA1348">
        <v>1</v>
      </c>
      <c r="DB1348">
        <v>0</v>
      </c>
      <c r="DC1348">
        <v>0</v>
      </c>
      <c r="DD1348">
        <v>1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>"12/16/2021 14:50:23.726"</f>
        <v>12/16/2021 14:50:23.726</v>
      </c>
      <c r="C1349" t="str">
        <f t="shared" si="66"/>
        <v>FFDFD3C0</v>
      </c>
      <c r="D1349" t="s">
        <v>113</v>
      </c>
      <c r="E1349">
        <v>8</v>
      </c>
      <c r="H1349">
        <v>176</v>
      </c>
      <c r="I1349" t="s">
        <v>114</v>
      </c>
      <c r="J1349" t="s">
        <v>115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"14:50:23.461"</f>
        <v>14:50:23.461</v>
      </c>
      <c r="T1349" t="str">
        <f>"14:50:22.961"</f>
        <v>14:50:22.961</v>
      </c>
      <c r="U1349" t="str">
        <f t="shared" si="69"/>
        <v>A0F928</v>
      </c>
      <c r="V1349">
        <v>0</v>
      </c>
      <c r="W1349">
        <v>0</v>
      </c>
      <c r="X1349">
        <v>2</v>
      </c>
      <c r="Z1349">
        <v>0</v>
      </c>
      <c r="AA1349">
        <v>9</v>
      </c>
      <c r="AB1349">
        <v>3</v>
      </c>
      <c r="AC1349">
        <v>0</v>
      </c>
      <c r="AD1349">
        <v>10</v>
      </c>
      <c r="AE1349">
        <v>0</v>
      </c>
      <c r="AF1349">
        <v>3</v>
      </c>
      <c r="AG1349">
        <v>2</v>
      </c>
      <c r="AH1349">
        <v>1</v>
      </c>
      <c r="AI1349" t="s">
        <v>752</v>
      </c>
      <c r="AJ1349">
        <v>35.785066999999998</v>
      </c>
      <c r="AK1349" t="s">
        <v>753</v>
      </c>
      <c r="AL1349">
        <v>-84.027579000000003</v>
      </c>
      <c r="AM1349">
        <v>25</v>
      </c>
      <c r="AN1349">
        <v>1550</v>
      </c>
      <c r="AO1349" t="s">
        <v>118</v>
      </c>
      <c r="AP1349">
        <v>-139</v>
      </c>
      <c r="AQ1349">
        <v>-17</v>
      </c>
      <c r="AR1349">
        <v>896</v>
      </c>
      <c r="AZ1349">
        <v>300</v>
      </c>
      <c r="BA1349">
        <v>1</v>
      </c>
      <c r="BB1349" t="str">
        <f t="shared" si="67"/>
        <v xml:space="preserve">N162AM  </v>
      </c>
      <c r="BC1349">
        <v>1</v>
      </c>
      <c r="BE1349">
        <v>0</v>
      </c>
      <c r="BF1349">
        <v>0</v>
      </c>
      <c r="BG1349">
        <v>0</v>
      </c>
      <c r="BH1349">
        <v>1825</v>
      </c>
      <c r="BI1349">
        <v>1</v>
      </c>
      <c r="BJ1349">
        <v>1</v>
      </c>
      <c r="BK1349">
        <v>1</v>
      </c>
      <c r="BL1349">
        <v>0</v>
      </c>
      <c r="BO1349">
        <v>0</v>
      </c>
      <c r="BP1349">
        <v>0</v>
      </c>
      <c r="BW1349" t="str">
        <f>"14:50:23.462"</f>
        <v>14:50:23.462</v>
      </c>
      <c r="CJ1349">
        <v>3</v>
      </c>
      <c r="CK1349">
        <v>2</v>
      </c>
      <c r="CL1349">
        <v>0</v>
      </c>
      <c r="CM1349">
        <v>2</v>
      </c>
      <c r="CN1349">
        <v>0</v>
      </c>
      <c r="CO1349">
        <v>5</v>
      </c>
      <c r="CP1349" t="s">
        <v>119</v>
      </c>
      <c r="CQ1349">
        <v>232</v>
      </c>
      <c r="CR1349">
        <v>1</v>
      </c>
      <c r="CW1349">
        <v>15536706</v>
      </c>
      <c r="CY1349">
        <v>1</v>
      </c>
      <c r="CZ1349">
        <v>0</v>
      </c>
      <c r="DA1349">
        <v>1</v>
      </c>
      <c r="DB1349">
        <v>0</v>
      </c>
      <c r="DC1349">
        <v>0</v>
      </c>
      <c r="DD1349">
        <v>1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>"12/16/2021 14:50:24.742"</f>
        <v>12/16/2021 14:50:24.742</v>
      </c>
      <c r="C1350" t="str">
        <f t="shared" si="66"/>
        <v>FFDFD3C0</v>
      </c>
      <c r="D1350" t="s">
        <v>124</v>
      </c>
      <c r="E1350">
        <v>5</v>
      </c>
      <c r="F1350">
        <v>1005</v>
      </c>
      <c r="G1350" t="s">
        <v>114</v>
      </c>
      <c r="J1350" t="s">
        <v>125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"14:50:24.547"</f>
        <v>14:50:24.547</v>
      </c>
      <c r="T1350" t="str">
        <f>"14:50:24.047"</f>
        <v>14:50:24.047</v>
      </c>
      <c r="U1350" t="str">
        <f t="shared" si="69"/>
        <v>A0F928</v>
      </c>
      <c r="V1350">
        <v>0</v>
      </c>
      <c r="W1350">
        <v>0</v>
      </c>
      <c r="X1350">
        <v>2</v>
      </c>
      <c r="Z1350">
        <v>0</v>
      </c>
      <c r="AA1350">
        <v>9</v>
      </c>
      <c r="AB1350">
        <v>3</v>
      </c>
      <c r="AC1350">
        <v>0</v>
      </c>
      <c r="AD1350">
        <v>10</v>
      </c>
      <c r="AE1350">
        <v>0</v>
      </c>
      <c r="AF1350">
        <v>3</v>
      </c>
      <c r="AG1350">
        <v>2</v>
      </c>
      <c r="AH1350">
        <v>1</v>
      </c>
      <c r="AI1350" t="s">
        <v>754</v>
      </c>
      <c r="AJ1350">
        <v>35.785024</v>
      </c>
      <c r="AK1350" t="s">
        <v>755</v>
      </c>
      <c r="AL1350">
        <v>-84.028480000000002</v>
      </c>
      <c r="AM1350">
        <v>25</v>
      </c>
      <c r="AN1350">
        <v>1575</v>
      </c>
      <c r="AO1350" t="s">
        <v>118</v>
      </c>
      <c r="AP1350">
        <v>-141</v>
      </c>
      <c r="AQ1350">
        <v>-10</v>
      </c>
      <c r="AR1350">
        <v>832</v>
      </c>
      <c r="AZ1350">
        <v>300</v>
      </c>
      <c r="BA1350">
        <v>1</v>
      </c>
      <c r="BB1350" t="str">
        <f t="shared" si="67"/>
        <v xml:space="preserve">N162AM  </v>
      </c>
      <c r="BC1350">
        <v>1</v>
      </c>
      <c r="BE1350">
        <v>0</v>
      </c>
      <c r="BF1350">
        <v>0</v>
      </c>
      <c r="BG1350">
        <v>0</v>
      </c>
      <c r="BH1350">
        <v>1825</v>
      </c>
      <c r="BI1350">
        <v>1</v>
      </c>
      <c r="BJ1350">
        <v>1</v>
      </c>
      <c r="BK1350">
        <v>1</v>
      </c>
      <c r="BL1350">
        <v>0</v>
      </c>
      <c r="BO1350">
        <v>0</v>
      </c>
      <c r="BP1350">
        <v>0</v>
      </c>
      <c r="BW1350" t="str">
        <f>"14:50:24.552"</f>
        <v>14:50:24.552</v>
      </c>
      <c r="CJ1350">
        <v>3</v>
      </c>
      <c r="CK1350">
        <v>2</v>
      </c>
      <c r="CL1350">
        <v>0</v>
      </c>
      <c r="CM1350">
        <v>2</v>
      </c>
      <c r="CN1350">
        <v>0</v>
      </c>
      <c r="CO1350">
        <v>5</v>
      </c>
      <c r="CP1350" t="s">
        <v>119</v>
      </c>
      <c r="CQ1350">
        <v>232</v>
      </c>
      <c r="CR1350">
        <v>2</v>
      </c>
      <c r="CW1350">
        <v>6738733</v>
      </c>
      <c r="CY1350">
        <v>1</v>
      </c>
      <c r="CZ1350">
        <v>0</v>
      </c>
      <c r="DA1350">
        <v>0</v>
      </c>
      <c r="DB1350">
        <v>0</v>
      </c>
      <c r="DC1350">
        <v>0</v>
      </c>
      <c r="DD1350">
        <v>1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>"12/16/2021 14:50:24.742"</f>
        <v>12/16/2021 14:50:24.742</v>
      </c>
      <c r="C1351" t="str">
        <f t="shared" si="66"/>
        <v>FFDFD3C0</v>
      </c>
      <c r="D1351" t="s">
        <v>124</v>
      </c>
      <c r="E1351">
        <v>10</v>
      </c>
      <c r="F1351">
        <v>1010</v>
      </c>
      <c r="G1351" t="s">
        <v>130</v>
      </c>
      <c r="J1351" t="s">
        <v>125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"14:50:24.547"</f>
        <v>14:50:24.547</v>
      </c>
      <c r="T1351" t="str">
        <f>"14:50:24.047"</f>
        <v>14:50:24.047</v>
      </c>
      <c r="U1351" t="str">
        <f t="shared" si="69"/>
        <v>A0F928</v>
      </c>
      <c r="V1351">
        <v>0</v>
      </c>
      <c r="W1351">
        <v>0</v>
      </c>
      <c r="X1351">
        <v>2</v>
      </c>
      <c r="Z1351">
        <v>0</v>
      </c>
      <c r="AA1351">
        <v>9</v>
      </c>
      <c r="AB1351">
        <v>3</v>
      </c>
      <c r="AC1351">
        <v>0</v>
      </c>
      <c r="AD1351">
        <v>10</v>
      </c>
      <c r="AE1351">
        <v>0</v>
      </c>
      <c r="AF1351">
        <v>0</v>
      </c>
      <c r="AG1351">
        <v>2</v>
      </c>
      <c r="AH1351">
        <v>1</v>
      </c>
      <c r="AI1351" t="s">
        <v>754</v>
      </c>
      <c r="AJ1351">
        <v>35.785024</v>
      </c>
      <c r="AK1351" t="s">
        <v>755</v>
      </c>
      <c r="AL1351">
        <v>-84.028480000000002</v>
      </c>
      <c r="AM1351">
        <v>25</v>
      </c>
      <c r="AN1351">
        <v>1575</v>
      </c>
      <c r="AO1351" t="s">
        <v>118</v>
      </c>
      <c r="AP1351">
        <v>-141</v>
      </c>
      <c r="AQ1351">
        <v>-10</v>
      </c>
      <c r="AR1351">
        <v>832</v>
      </c>
      <c r="AZ1351">
        <v>300</v>
      </c>
      <c r="BA1351">
        <v>1</v>
      </c>
      <c r="BB1351" t="str">
        <f t="shared" si="67"/>
        <v xml:space="preserve">N162AM  </v>
      </c>
      <c r="BC1351">
        <v>1</v>
      </c>
      <c r="BE1351">
        <v>0</v>
      </c>
      <c r="BF1351">
        <v>0</v>
      </c>
      <c r="BG1351">
        <v>0</v>
      </c>
      <c r="BH1351">
        <v>1825</v>
      </c>
      <c r="BI1351">
        <v>1</v>
      </c>
      <c r="BJ1351">
        <v>1</v>
      </c>
      <c r="BK1351">
        <v>1</v>
      </c>
      <c r="BL1351">
        <v>0</v>
      </c>
      <c r="BO1351">
        <v>0</v>
      </c>
      <c r="BP1351">
        <v>0</v>
      </c>
      <c r="BW1351" t="str">
        <f>"14:50:24.552"</f>
        <v>14:50:24.552</v>
      </c>
      <c r="CJ1351">
        <v>2</v>
      </c>
      <c r="CK1351">
        <v>2</v>
      </c>
      <c r="CL1351">
        <v>0</v>
      </c>
      <c r="CM1351">
        <v>2</v>
      </c>
      <c r="CN1351">
        <v>0</v>
      </c>
      <c r="CO1351">
        <v>5</v>
      </c>
      <c r="CP1351" t="s">
        <v>119</v>
      </c>
      <c r="CQ1351">
        <v>232</v>
      </c>
      <c r="CR1351">
        <v>2</v>
      </c>
      <c r="CW1351">
        <v>6738733</v>
      </c>
      <c r="CY1351">
        <v>1</v>
      </c>
      <c r="CZ1351">
        <v>0</v>
      </c>
      <c r="DA1351">
        <v>1</v>
      </c>
      <c r="DB1351">
        <v>0</v>
      </c>
      <c r="DC1351">
        <v>0</v>
      </c>
      <c r="DD1351">
        <v>1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>"12/16/2021 14:50:24.742"</f>
        <v>12/16/2021 14:50:24.742</v>
      </c>
      <c r="C1352" t="str">
        <f t="shared" si="66"/>
        <v>FFDFD3C0</v>
      </c>
      <c r="D1352" t="s">
        <v>133</v>
      </c>
      <c r="E1352">
        <v>44</v>
      </c>
      <c r="H1352">
        <v>131</v>
      </c>
      <c r="I1352" t="s">
        <v>134</v>
      </c>
      <c r="J1352" t="s">
        <v>135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"14:50:24.547"</f>
        <v>14:50:24.547</v>
      </c>
      <c r="T1352" t="str">
        <f>"14:50:24.047"</f>
        <v>14:50:24.047</v>
      </c>
      <c r="U1352" t="str">
        <f t="shared" si="69"/>
        <v>A0F928</v>
      </c>
      <c r="V1352">
        <v>0</v>
      </c>
      <c r="W1352">
        <v>0</v>
      </c>
      <c r="X1352">
        <v>2</v>
      </c>
      <c r="Z1352">
        <v>0</v>
      </c>
      <c r="AA1352">
        <v>9</v>
      </c>
      <c r="AB1352">
        <v>3</v>
      </c>
      <c r="AC1352">
        <v>0</v>
      </c>
      <c r="AD1352">
        <v>10</v>
      </c>
      <c r="AE1352">
        <v>0</v>
      </c>
      <c r="AF1352">
        <v>3</v>
      </c>
      <c r="AG1352">
        <v>2</v>
      </c>
      <c r="AH1352">
        <v>1</v>
      </c>
      <c r="AI1352" t="s">
        <v>754</v>
      </c>
      <c r="AJ1352">
        <v>35.785024</v>
      </c>
      <c r="AK1352" t="s">
        <v>755</v>
      </c>
      <c r="AL1352">
        <v>-84.028480000000002</v>
      </c>
      <c r="AM1352">
        <v>25</v>
      </c>
      <c r="AN1352">
        <v>1575</v>
      </c>
      <c r="AO1352" t="s">
        <v>118</v>
      </c>
      <c r="AP1352">
        <v>-141</v>
      </c>
      <c r="AQ1352">
        <v>-10</v>
      </c>
      <c r="AR1352">
        <v>832</v>
      </c>
      <c r="AZ1352">
        <v>300</v>
      </c>
      <c r="BA1352">
        <v>1</v>
      </c>
      <c r="BB1352" t="str">
        <f t="shared" si="67"/>
        <v xml:space="preserve">N162AM  </v>
      </c>
      <c r="BC1352">
        <v>1</v>
      </c>
      <c r="BE1352">
        <v>0</v>
      </c>
      <c r="BF1352">
        <v>0</v>
      </c>
      <c r="BG1352">
        <v>0</v>
      </c>
      <c r="BH1352">
        <v>1825</v>
      </c>
      <c r="BI1352">
        <v>1</v>
      </c>
      <c r="BJ1352">
        <v>1</v>
      </c>
      <c r="BK1352">
        <v>1</v>
      </c>
      <c r="BL1352">
        <v>0</v>
      </c>
      <c r="BO1352">
        <v>0</v>
      </c>
      <c r="BP1352">
        <v>0</v>
      </c>
      <c r="BW1352" t="str">
        <f>"14:50:24.552"</f>
        <v>14:50:24.552</v>
      </c>
      <c r="CJ1352">
        <v>3</v>
      </c>
      <c r="CK1352">
        <v>2</v>
      </c>
      <c r="CL1352">
        <v>0</v>
      </c>
      <c r="CM1352">
        <v>2</v>
      </c>
      <c r="CN1352">
        <v>0</v>
      </c>
      <c r="CO1352">
        <v>5</v>
      </c>
      <c r="CP1352" t="s">
        <v>119</v>
      </c>
      <c r="CQ1352">
        <v>232</v>
      </c>
      <c r="CR1352">
        <v>2</v>
      </c>
      <c r="CW1352">
        <v>6738733</v>
      </c>
      <c r="CY1352">
        <v>1</v>
      </c>
      <c r="CZ1352">
        <v>0</v>
      </c>
      <c r="DA1352">
        <v>1</v>
      </c>
      <c r="DB1352">
        <v>0</v>
      </c>
      <c r="DC1352">
        <v>0</v>
      </c>
      <c r="DD1352">
        <v>1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"12/16/2021 14:50:24.789"</f>
        <v>12/16/2021 14:50:24.789</v>
      </c>
      <c r="C1353" t="str">
        <f t="shared" si="66"/>
        <v>FFDFD3C0</v>
      </c>
      <c r="D1353" t="s">
        <v>113</v>
      </c>
      <c r="E1353">
        <v>8</v>
      </c>
      <c r="H1353">
        <v>176</v>
      </c>
      <c r="I1353" t="s">
        <v>114</v>
      </c>
      <c r="J1353" t="s">
        <v>115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"14:50:24.547"</f>
        <v>14:50:24.547</v>
      </c>
      <c r="T1353" t="str">
        <f>"14:50:24.047"</f>
        <v>14:50:24.047</v>
      </c>
      <c r="U1353" t="str">
        <f t="shared" si="69"/>
        <v>A0F928</v>
      </c>
      <c r="V1353">
        <v>0</v>
      </c>
      <c r="W1353">
        <v>0</v>
      </c>
      <c r="X1353">
        <v>2</v>
      </c>
      <c r="Z1353">
        <v>0</v>
      </c>
      <c r="AA1353">
        <v>9</v>
      </c>
      <c r="AB1353">
        <v>3</v>
      </c>
      <c r="AC1353">
        <v>0</v>
      </c>
      <c r="AD1353">
        <v>10</v>
      </c>
      <c r="AE1353">
        <v>0</v>
      </c>
      <c r="AF1353">
        <v>3</v>
      </c>
      <c r="AG1353">
        <v>2</v>
      </c>
      <c r="AH1353">
        <v>1</v>
      </c>
      <c r="AI1353" t="s">
        <v>754</v>
      </c>
      <c r="AJ1353">
        <v>35.785024</v>
      </c>
      <c r="AK1353" t="s">
        <v>755</v>
      </c>
      <c r="AL1353">
        <v>-84.028480000000002</v>
      </c>
      <c r="AM1353">
        <v>25</v>
      </c>
      <c r="AN1353">
        <v>1575</v>
      </c>
      <c r="AO1353" t="s">
        <v>118</v>
      </c>
      <c r="AP1353">
        <v>-141</v>
      </c>
      <c r="AQ1353">
        <v>-10</v>
      </c>
      <c r="AR1353">
        <v>832</v>
      </c>
      <c r="AZ1353">
        <v>300</v>
      </c>
      <c r="BA1353">
        <v>1</v>
      </c>
      <c r="BB1353" t="str">
        <f t="shared" si="67"/>
        <v xml:space="preserve">N162AM  </v>
      </c>
      <c r="BC1353">
        <v>1</v>
      </c>
      <c r="BE1353">
        <v>0</v>
      </c>
      <c r="BF1353">
        <v>0</v>
      </c>
      <c r="BG1353">
        <v>0</v>
      </c>
      <c r="BH1353">
        <v>1825</v>
      </c>
      <c r="BI1353">
        <v>1</v>
      </c>
      <c r="BJ1353">
        <v>1</v>
      </c>
      <c r="BK1353">
        <v>1</v>
      </c>
      <c r="BL1353">
        <v>0</v>
      </c>
      <c r="BO1353">
        <v>0</v>
      </c>
      <c r="BP1353">
        <v>0</v>
      </c>
      <c r="BW1353" t="str">
        <f>"14:50:24.552"</f>
        <v>14:50:24.552</v>
      </c>
      <c r="CJ1353">
        <v>3</v>
      </c>
      <c r="CK1353">
        <v>2</v>
      </c>
      <c r="CL1353">
        <v>0</v>
      </c>
      <c r="CM1353">
        <v>2</v>
      </c>
      <c r="CN1353">
        <v>0</v>
      </c>
      <c r="CO1353">
        <v>5</v>
      </c>
      <c r="CP1353" t="s">
        <v>119</v>
      </c>
      <c r="CQ1353">
        <v>232</v>
      </c>
      <c r="CR1353">
        <v>2</v>
      </c>
      <c r="CW1353">
        <v>6738733</v>
      </c>
      <c r="CY1353">
        <v>1</v>
      </c>
      <c r="CZ1353">
        <v>0</v>
      </c>
      <c r="DA1353">
        <v>1</v>
      </c>
      <c r="DB1353">
        <v>0</v>
      </c>
      <c r="DC1353">
        <v>0</v>
      </c>
      <c r="DD1353">
        <v>1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"12/16/2021 14:50:25.749"</f>
        <v>12/16/2021 14:50:25.749</v>
      </c>
      <c r="C1354" t="str">
        <f t="shared" si="66"/>
        <v>FFDFD3C0</v>
      </c>
      <c r="D1354" t="s">
        <v>113</v>
      </c>
      <c r="E1354">
        <v>8</v>
      </c>
      <c r="H1354">
        <v>176</v>
      </c>
      <c r="I1354" t="s">
        <v>114</v>
      </c>
      <c r="J1354" t="s">
        <v>115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"14:50:25.555"</f>
        <v>14:50:25.555</v>
      </c>
      <c r="T1354" t="str">
        <f>"14:50:25.055"</f>
        <v>14:50:25.055</v>
      </c>
      <c r="U1354" t="str">
        <f t="shared" si="69"/>
        <v>A0F928</v>
      </c>
      <c r="V1354">
        <v>0</v>
      </c>
      <c r="W1354">
        <v>0</v>
      </c>
      <c r="X1354">
        <v>2</v>
      </c>
      <c r="Z1354">
        <v>0</v>
      </c>
      <c r="AA1354">
        <v>9</v>
      </c>
      <c r="AB1354">
        <v>3</v>
      </c>
      <c r="AC1354">
        <v>0</v>
      </c>
      <c r="AD1354">
        <v>10</v>
      </c>
      <c r="AE1354">
        <v>0</v>
      </c>
      <c r="AF1354">
        <v>3</v>
      </c>
      <c r="AG1354">
        <v>2</v>
      </c>
      <c r="AH1354">
        <v>1</v>
      </c>
      <c r="AI1354" t="s">
        <v>754</v>
      </c>
      <c r="AJ1354">
        <v>35.785024</v>
      </c>
      <c r="AK1354" t="s">
        <v>756</v>
      </c>
      <c r="AL1354">
        <v>-84.029274000000001</v>
      </c>
      <c r="AM1354">
        <v>25</v>
      </c>
      <c r="AN1354">
        <v>1600</v>
      </c>
      <c r="AO1354" t="s">
        <v>118</v>
      </c>
      <c r="AP1354">
        <v>-142</v>
      </c>
      <c r="AQ1354">
        <v>-4</v>
      </c>
      <c r="AR1354">
        <v>768</v>
      </c>
      <c r="AZ1354">
        <v>300</v>
      </c>
      <c r="BA1354">
        <v>1</v>
      </c>
      <c r="BB1354" t="str">
        <f t="shared" si="67"/>
        <v xml:space="preserve">N162AM  </v>
      </c>
      <c r="BC1354">
        <v>1</v>
      </c>
      <c r="BE1354">
        <v>0</v>
      </c>
      <c r="BF1354">
        <v>0</v>
      </c>
      <c r="BG1354">
        <v>0</v>
      </c>
      <c r="BH1354">
        <v>1850</v>
      </c>
      <c r="BI1354">
        <v>1</v>
      </c>
      <c r="BJ1354">
        <v>1</v>
      </c>
      <c r="BK1354">
        <v>1</v>
      </c>
      <c r="BL1354">
        <v>0</v>
      </c>
      <c r="BO1354">
        <v>0</v>
      </c>
      <c r="BP1354">
        <v>0</v>
      </c>
      <c r="BW1354" t="str">
        <f>"14:50:25.558"</f>
        <v>14:50:25.558</v>
      </c>
      <c r="CJ1354">
        <v>3</v>
      </c>
      <c r="CK1354">
        <v>2</v>
      </c>
      <c r="CL1354">
        <v>0</v>
      </c>
      <c r="CM1354">
        <v>2</v>
      </c>
      <c r="CN1354">
        <v>0</v>
      </c>
      <c r="CO1354">
        <v>4</v>
      </c>
      <c r="CP1354" t="s">
        <v>119</v>
      </c>
      <c r="CQ1354">
        <v>232</v>
      </c>
      <c r="CR1354">
        <v>1</v>
      </c>
      <c r="CW1354">
        <v>15539899</v>
      </c>
      <c r="CY1354">
        <v>1</v>
      </c>
      <c r="CZ1354">
        <v>0</v>
      </c>
      <c r="DA1354">
        <v>0</v>
      </c>
      <c r="DB1354">
        <v>0</v>
      </c>
      <c r="DC1354">
        <v>0</v>
      </c>
      <c r="DD1354">
        <v>1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>"12/16/2021 14:50:25.749"</f>
        <v>12/16/2021 14:50:25.749</v>
      </c>
      <c r="C1355" t="str">
        <f t="shared" si="66"/>
        <v>FFDFD3C0</v>
      </c>
      <c r="D1355" t="s">
        <v>124</v>
      </c>
      <c r="E1355">
        <v>5</v>
      </c>
      <c r="F1355">
        <v>1005</v>
      </c>
      <c r="G1355" t="s">
        <v>114</v>
      </c>
      <c r="J1355" t="s">
        <v>125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"14:50:25.555"</f>
        <v>14:50:25.555</v>
      </c>
      <c r="T1355" t="str">
        <f>"14:50:25.055"</f>
        <v>14:50:25.055</v>
      </c>
      <c r="U1355" t="str">
        <f t="shared" si="69"/>
        <v>A0F928</v>
      </c>
      <c r="V1355">
        <v>0</v>
      </c>
      <c r="W1355">
        <v>0</v>
      </c>
      <c r="X1355">
        <v>2</v>
      </c>
      <c r="Z1355">
        <v>0</v>
      </c>
      <c r="AA1355">
        <v>9</v>
      </c>
      <c r="AB1355">
        <v>3</v>
      </c>
      <c r="AC1355">
        <v>0</v>
      </c>
      <c r="AD1355">
        <v>10</v>
      </c>
      <c r="AE1355">
        <v>0</v>
      </c>
      <c r="AF1355">
        <v>3</v>
      </c>
      <c r="AG1355">
        <v>2</v>
      </c>
      <c r="AH1355">
        <v>1</v>
      </c>
      <c r="AI1355" t="s">
        <v>754</v>
      </c>
      <c r="AJ1355">
        <v>35.785024</v>
      </c>
      <c r="AK1355" t="s">
        <v>756</v>
      </c>
      <c r="AL1355">
        <v>-84.029274000000001</v>
      </c>
      <c r="AM1355">
        <v>25</v>
      </c>
      <c r="AN1355">
        <v>1600</v>
      </c>
      <c r="AO1355" t="s">
        <v>118</v>
      </c>
      <c r="AP1355">
        <v>-142</v>
      </c>
      <c r="AQ1355">
        <v>-4</v>
      </c>
      <c r="AR1355">
        <v>768</v>
      </c>
      <c r="AZ1355">
        <v>300</v>
      </c>
      <c r="BA1355">
        <v>1</v>
      </c>
      <c r="BB1355" t="str">
        <f t="shared" si="67"/>
        <v xml:space="preserve">N162AM  </v>
      </c>
      <c r="BC1355">
        <v>1</v>
      </c>
      <c r="BE1355">
        <v>0</v>
      </c>
      <c r="BF1355">
        <v>0</v>
      </c>
      <c r="BG1355">
        <v>0</v>
      </c>
      <c r="BH1355">
        <v>1850</v>
      </c>
      <c r="BI1355">
        <v>1</v>
      </c>
      <c r="BJ1355">
        <v>1</v>
      </c>
      <c r="BK1355">
        <v>1</v>
      </c>
      <c r="BL1355">
        <v>0</v>
      </c>
      <c r="BO1355">
        <v>0</v>
      </c>
      <c r="BP1355">
        <v>0</v>
      </c>
      <c r="BW1355" t="str">
        <f>"14:50:25.558"</f>
        <v>14:50:25.558</v>
      </c>
      <c r="CJ1355">
        <v>3</v>
      </c>
      <c r="CK1355">
        <v>2</v>
      </c>
      <c r="CL1355">
        <v>0</v>
      </c>
      <c r="CM1355">
        <v>2</v>
      </c>
      <c r="CN1355">
        <v>0</v>
      </c>
      <c r="CO1355">
        <v>4</v>
      </c>
      <c r="CP1355" t="s">
        <v>119</v>
      </c>
      <c r="CQ1355">
        <v>232</v>
      </c>
      <c r="CR1355">
        <v>1</v>
      </c>
      <c r="CW1355">
        <v>15539899</v>
      </c>
      <c r="CY1355">
        <v>1</v>
      </c>
      <c r="CZ1355">
        <v>0</v>
      </c>
      <c r="DA1355">
        <v>1</v>
      </c>
      <c r="DB1355">
        <v>0</v>
      </c>
      <c r="DC1355">
        <v>0</v>
      </c>
      <c r="DD1355">
        <v>1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>"12/16/2021 14:50:25.765"</f>
        <v>12/16/2021 14:50:25.765</v>
      </c>
      <c r="C1356" t="str">
        <f t="shared" si="66"/>
        <v>FFDFD3C0</v>
      </c>
      <c r="D1356" t="s">
        <v>124</v>
      </c>
      <c r="E1356">
        <v>10</v>
      </c>
      <c r="F1356">
        <v>1010</v>
      </c>
      <c r="G1356" t="s">
        <v>130</v>
      </c>
      <c r="J1356" t="s">
        <v>125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"14:50:25.555"</f>
        <v>14:50:25.555</v>
      </c>
      <c r="T1356" t="str">
        <f>"14:50:25.055"</f>
        <v>14:50:25.055</v>
      </c>
      <c r="U1356" t="str">
        <f t="shared" si="69"/>
        <v>A0F928</v>
      </c>
      <c r="V1356">
        <v>0</v>
      </c>
      <c r="W1356">
        <v>0</v>
      </c>
      <c r="X1356">
        <v>2</v>
      </c>
      <c r="Z1356">
        <v>0</v>
      </c>
      <c r="AA1356">
        <v>9</v>
      </c>
      <c r="AB1356">
        <v>3</v>
      </c>
      <c r="AC1356">
        <v>0</v>
      </c>
      <c r="AD1356">
        <v>10</v>
      </c>
      <c r="AE1356">
        <v>0</v>
      </c>
      <c r="AF1356">
        <v>3</v>
      </c>
      <c r="AG1356">
        <v>2</v>
      </c>
      <c r="AH1356">
        <v>1</v>
      </c>
      <c r="AI1356" t="s">
        <v>754</v>
      </c>
      <c r="AJ1356">
        <v>35.785024</v>
      </c>
      <c r="AK1356" t="s">
        <v>756</v>
      </c>
      <c r="AL1356">
        <v>-84.029274000000001</v>
      </c>
      <c r="AM1356">
        <v>25</v>
      </c>
      <c r="AN1356">
        <v>1600</v>
      </c>
      <c r="AO1356" t="s">
        <v>118</v>
      </c>
      <c r="AP1356">
        <v>-142</v>
      </c>
      <c r="AQ1356">
        <v>-4</v>
      </c>
      <c r="AR1356">
        <v>768</v>
      </c>
      <c r="AZ1356">
        <v>300</v>
      </c>
      <c r="BA1356">
        <v>1</v>
      </c>
      <c r="BB1356" t="str">
        <f t="shared" si="67"/>
        <v xml:space="preserve">N162AM  </v>
      </c>
      <c r="BC1356">
        <v>1</v>
      </c>
      <c r="BE1356">
        <v>0</v>
      </c>
      <c r="BF1356">
        <v>0</v>
      </c>
      <c r="BG1356">
        <v>0</v>
      </c>
      <c r="BH1356">
        <v>1850</v>
      </c>
      <c r="BI1356">
        <v>1</v>
      </c>
      <c r="BJ1356">
        <v>1</v>
      </c>
      <c r="BK1356">
        <v>1</v>
      </c>
      <c r="BL1356">
        <v>0</v>
      </c>
      <c r="BO1356">
        <v>0</v>
      </c>
      <c r="BP1356">
        <v>0</v>
      </c>
      <c r="BW1356" t="str">
        <f>"14:50:25.558"</f>
        <v>14:50:25.558</v>
      </c>
      <c r="CJ1356">
        <v>3</v>
      </c>
      <c r="CK1356">
        <v>2</v>
      </c>
      <c r="CL1356">
        <v>0</v>
      </c>
      <c r="CM1356">
        <v>2</v>
      </c>
      <c r="CN1356">
        <v>0</v>
      </c>
      <c r="CO1356">
        <v>4</v>
      </c>
      <c r="CP1356" t="s">
        <v>119</v>
      </c>
      <c r="CQ1356">
        <v>232</v>
      </c>
      <c r="CR1356">
        <v>1</v>
      </c>
      <c r="CW1356">
        <v>15539899</v>
      </c>
      <c r="CY1356">
        <v>1</v>
      </c>
      <c r="CZ1356">
        <v>0</v>
      </c>
      <c r="DA1356">
        <v>1</v>
      </c>
      <c r="DB1356">
        <v>0</v>
      </c>
      <c r="DC1356">
        <v>0</v>
      </c>
      <c r="DD1356">
        <v>1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>"12/16/2021 14:50:25.781"</f>
        <v>12/16/2021 14:50:25.781</v>
      </c>
      <c r="C1357" t="str">
        <f t="shared" si="66"/>
        <v>FFDFD3C0</v>
      </c>
      <c r="D1357" t="s">
        <v>133</v>
      </c>
      <c r="E1357">
        <v>44</v>
      </c>
      <c r="H1357">
        <v>131</v>
      </c>
      <c r="I1357" t="s">
        <v>134</v>
      </c>
      <c r="J1357" t="s">
        <v>135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>"14:50:25.555"</f>
        <v>14:50:25.555</v>
      </c>
      <c r="T1357" t="str">
        <f>"14:50:25.055"</f>
        <v>14:50:25.055</v>
      </c>
      <c r="U1357" t="str">
        <f t="shared" si="69"/>
        <v>A0F928</v>
      </c>
      <c r="V1357">
        <v>0</v>
      </c>
      <c r="W1357">
        <v>0</v>
      </c>
      <c r="X1357">
        <v>2</v>
      </c>
      <c r="Z1357">
        <v>0</v>
      </c>
      <c r="AA1357">
        <v>9</v>
      </c>
      <c r="AB1357">
        <v>3</v>
      </c>
      <c r="AC1357">
        <v>0</v>
      </c>
      <c r="AD1357">
        <v>10</v>
      </c>
      <c r="AE1357">
        <v>0</v>
      </c>
      <c r="AF1357">
        <v>3</v>
      </c>
      <c r="AG1357">
        <v>2</v>
      </c>
      <c r="AH1357">
        <v>1</v>
      </c>
      <c r="AI1357" t="s">
        <v>754</v>
      </c>
      <c r="AJ1357">
        <v>35.785024</v>
      </c>
      <c r="AK1357" t="s">
        <v>756</v>
      </c>
      <c r="AL1357">
        <v>-84.029274000000001</v>
      </c>
      <c r="AM1357">
        <v>25</v>
      </c>
      <c r="AN1357">
        <v>1600</v>
      </c>
      <c r="AO1357" t="s">
        <v>118</v>
      </c>
      <c r="AP1357">
        <v>-142</v>
      </c>
      <c r="AQ1357">
        <v>-4</v>
      </c>
      <c r="AR1357">
        <v>768</v>
      </c>
      <c r="AZ1357">
        <v>300</v>
      </c>
      <c r="BA1357">
        <v>1</v>
      </c>
      <c r="BB1357" t="str">
        <f t="shared" si="67"/>
        <v xml:space="preserve">N162AM  </v>
      </c>
      <c r="BC1357">
        <v>1</v>
      </c>
      <c r="BE1357">
        <v>0</v>
      </c>
      <c r="BF1357">
        <v>0</v>
      </c>
      <c r="BG1357">
        <v>0</v>
      </c>
      <c r="BH1357">
        <v>1850</v>
      </c>
      <c r="BI1357">
        <v>1</v>
      </c>
      <c r="BJ1357">
        <v>1</v>
      </c>
      <c r="BK1357">
        <v>1</v>
      </c>
      <c r="BL1357">
        <v>0</v>
      </c>
      <c r="BO1357">
        <v>0</v>
      </c>
      <c r="BP1357">
        <v>0</v>
      </c>
      <c r="BW1357" t="str">
        <f>"14:50:25.558"</f>
        <v>14:50:25.558</v>
      </c>
      <c r="CJ1357">
        <v>3</v>
      </c>
      <c r="CK1357">
        <v>2</v>
      </c>
      <c r="CL1357">
        <v>0</v>
      </c>
      <c r="CM1357">
        <v>2</v>
      </c>
      <c r="CN1357">
        <v>0</v>
      </c>
      <c r="CO1357">
        <v>4</v>
      </c>
      <c r="CP1357" t="s">
        <v>119</v>
      </c>
      <c r="CQ1357">
        <v>232</v>
      </c>
      <c r="CR1357">
        <v>1</v>
      </c>
      <c r="CW1357">
        <v>15539899</v>
      </c>
      <c r="CY1357">
        <v>1</v>
      </c>
      <c r="CZ1357">
        <v>0</v>
      </c>
      <c r="DA1357">
        <v>1</v>
      </c>
      <c r="DB1357">
        <v>0</v>
      </c>
      <c r="DC1357">
        <v>0</v>
      </c>
      <c r="DD1357">
        <v>1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>"12/16/2021 14:50:26.781"</f>
        <v>12/16/2021 14:50:26.781</v>
      </c>
      <c r="C1358" t="str">
        <f t="shared" si="66"/>
        <v>FFDFD3C0</v>
      </c>
      <c r="D1358" t="s">
        <v>124</v>
      </c>
      <c r="E1358">
        <v>5</v>
      </c>
      <c r="F1358">
        <v>1005</v>
      </c>
      <c r="G1358" t="s">
        <v>114</v>
      </c>
      <c r="J1358" t="s">
        <v>125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"14:50:26.578"</f>
        <v>14:50:26.578</v>
      </c>
      <c r="T1358" t="str">
        <f>"14:50:26.078"</f>
        <v>14:50:26.078</v>
      </c>
      <c r="U1358" t="str">
        <f t="shared" si="69"/>
        <v>A0F928</v>
      </c>
      <c r="V1358">
        <v>0</v>
      </c>
      <c r="W1358">
        <v>0</v>
      </c>
      <c r="X1358">
        <v>2</v>
      </c>
      <c r="Z1358">
        <v>0</v>
      </c>
      <c r="AA1358">
        <v>9</v>
      </c>
      <c r="AB1358">
        <v>3</v>
      </c>
      <c r="AC1358">
        <v>0</v>
      </c>
      <c r="AD1358">
        <v>10</v>
      </c>
      <c r="AE1358">
        <v>0</v>
      </c>
      <c r="AF1358">
        <v>3</v>
      </c>
      <c r="AG1358">
        <v>2</v>
      </c>
      <c r="AH1358">
        <v>1</v>
      </c>
      <c r="AI1358" t="s">
        <v>757</v>
      </c>
      <c r="AJ1358">
        <v>35.785088999999999</v>
      </c>
      <c r="AK1358" t="s">
        <v>758</v>
      </c>
      <c r="AL1358">
        <v>-84.030131999999995</v>
      </c>
      <c r="AM1358">
        <v>25</v>
      </c>
      <c r="AN1358">
        <v>1600</v>
      </c>
      <c r="AO1358" t="s">
        <v>118</v>
      </c>
      <c r="AP1358">
        <v>-143</v>
      </c>
      <c r="AQ1358">
        <v>4</v>
      </c>
      <c r="AR1358">
        <v>768</v>
      </c>
      <c r="AZ1358">
        <v>300</v>
      </c>
      <c r="BA1358">
        <v>1</v>
      </c>
      <c r="BB1358" t="str">
        <f t="shared" si="67"/>
        <v xml:space="preserve">N162AM  </v>
      </c>
      <c r="BC1358">
        <v>1</v>
      </c>
      <c r="BE1358">
        <v>0</v>
      </c>
      <c r="BF1358">
        <v>0</v>
      </c>
      <c r="BG1358">
        <v>0</v>
      </c>
      <c r="BH1358">
        <v>1875</v>
      </c>
      <c r="BI1358">
        <v>1</v>
      </c>
      <c r="BJ1358">
        <v>1</v>
      </c>
      <c r="BK1358">
        <v>1</v>
      </c>
      <c r="BL1358">
        <v>0</v>
      </c>
      <c r="BO1358">
        <v>0</v>
      </c>
      <c r="BP1358">
        <v>0</v>
      </c>
      <c r="BW1358" t="str">
        <f>"14:50:26.583"</f>
        <v>14:50:26.583</v>
      </c>
      <c r="CJ1358">
        <v>3</v>
      </c>
      <c r="CK1358">
        <v>2</v>
      </c>
      <c r="CL1358">
        <v>0</v>
      </c>
      <c r="CM1358">
        <v>2</v>
      </c>
      <c r="CN1358">
        <v>0</v>
      </c>
      <c r="CO1358">
        <v>5</v>
      </c>
      <c r="CP1358" t="s">
        <v>119</v>
      </c>
      <c r="CQ1358">
        <v>232</v>
      </c>
      <c r="CR1358">
        <v>2</v>
      </c>
      <c r="CW1358">
        <v>6741874</v>
      </c>
      <c r="CY1358">
        <v>1</v>
      </c>
      <c r="CZ1358">
        <v>0</v>
      </c>
      <c r="DA1358">
        <v>0</v>
      </c>
      <c r="DB1358">
        <v>0</v>
      </c>
      <c r="DC1358">
        <v>0</v>
      </c>
      <c r="DD1358">
        <v>1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>"12/16/2021 14:50:26.781"</f>
        <v>12/16/2021 14:50:26.781</v>
      </c>
      <c r="C1359" t="str">
        <f t="shared" si="66"/>
        <v>FFDFD3C0</v>
      </c>
      <c r="D1359" t="s">
        <v>124</v>
      </c>
      <c r="E1359">
        <v>10</v>
      </c>
      <c r="F1359">
        <v>1010</v>
      </c>
      <c r="G1359" t="s">
        <v>130</v>
      </c>
      <c r="J1359" t="s">
        <v>125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"14:50:26.578"</f>
        <v>14:50:26.578</v>
      </c>
      <c r="T1359" t="str">
        <f>"14:50:26.078"</f>
        <v>14:50:26.078</v>
      </c>
      <c r="U1359" t="str">
        <f t="shared" si="69"/>
        <v>A0F928</v>
      </c>
      <c r="V1359">
        <v>0</v>
      </c>
      <c r="W1359">
        <v>0</v>
      </c>
      <c r="X1359">
        <v>2</v>
      </c>
      <c r="Z1359">
        <v>0</v>
      </c>
      <c r="AA1359">
        <v>9</v>
      </c>
      <c r="AB1359">
        <v>3</v>
      </c>
      <c r="AC1359">
        <v>0</v>
      </c>
      <c r="AD1359">
        <v>10</v>
      </c>
      <c r="AE1359">
        <v>0</v>
      </c>
      <c r="AF1359">
        <v>3</v>
      </c>
      <c r="AG1359">
        <v>2</v>
      </c>
      <c r="AH1359">
        <v>1</v>
      </c>
      <c r="AI1359" t="s">
        <v>757</v>
      </c>
      <c r="AJ1359">
        <v>35.785088999999999</v>
      </c>
      <c r="AK1359" t="s">
        <v>758</v>
      </c>
      <c r="AL1359">
        <v>-84.030131999999995</v>
      </c>
      <c r="AM1359">
        <v>25</v>
      </c>
      <c r="AN1359">
        <v>1600</v>
      </c>
      <c r="AO1359" t="s">
        <v>118</v>
      </c>
      <c r="AP1359">
        <v>-143</v>
      </c>
      <c r="AQ1359">
        <v>4</v>
      </c>
      <c r="AR1359">
        <v>768</v>
      </c>
      <c r="AZ1359">
        <v>300</v>
      </c>
      <c r="BA1359">
        <v>1</v>
      </c>
      <c r="BB1359" t="str">
        <f t="shared" si="67"/>
        <v xml:space="preserve">N162AM  </v>
      </c>
      <c r="BC1359">
        <v>1</v>
      </c>
      <c r="BE1359">
        <v>0</v>
      </c>
      <c r="BF1359">
        <v>0</v>
      </c>
      <c r="BG1359">
        <v>0</v>
      </c>
      <c r="BH1359">
        <v>1875</v>
      </c>
      <c r="BI1359">
        <v>1</v>
      </c>
      <c r="BJ1359">
        <v>1</v>
      </c>
      <c r="BK1359">
        <v>1</v>
      </c>
      <c r="BL1359">
        <v>0</v>
      </c>
      <c r="BO1359">
        <v>0</v>
      </c>
      <c r="BP1359">
        <v>0</v>
      </c>
      <c r="BW1359" t="str">
        <f>"14:50:26.583"</f>
        <v>14:50:26.583</v>
      </c>
      <c r="CJ1359">
        <v>3</v>
      </c>
      <c r="CK1359">
        <v>2</v>
      </c>
      <c r="CL1359">
        <v>0</v>
      </c>
      <c r="CM1359">
        <v>2</v>
      </c>
      <c r="CN1359">
        <v>0</v>
      </c>
      <c r="CO1359">
        <v>5</v>
      </c>
      <c r="CP1359" t="s">
        <v>119</v>
      </c>
      <c r="CQ1359">
        <v>232</v>
      </c>
      <c r="CR1359">
        <v>2</v>
      </c>
      <c r="CW1359">
        <v>6741874</v>
      </c>
      <c r="CY1359">
        <v>1</v>
      </c>
      <c r="CZ1359">
        <v>0</v>
      </c>
      <c r="DA1359">
        <v>1</v>
      </c>
      <c r="DB1359">
        <v>0</v>
      </c>
      <c r="DC1359">
        <v>0</v>
      </c>
      <c r="DD1359">
        <v>1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>"12/16/2021 14:50:26.781"</f>
        <v>12/16/2021 14:50:26.781</v>
      </c>
      <c r="C1360" t="str">
        <f t="shared" si="66"/>
        <v>FFDFD3C0</v>
      </c>
      <c r="D1360" t="s">
        <v>133</v>
      </c>
      <c r="E1360">
        <v>44</v>
      </c>
      <c r="H1360">
        <v>131</v>
      </c>
      <c r="I1360" t="s">
        <v>134</v>
      </c>
      <c r="J1360" t="s">
        <v>135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"14:50:26.578"</f>
        <v>14:50:26.578</v>
      </c>
      <c r="T1360" t="str">
        <f>"14:50:26.078"</f>
        <v>14:50:26.078</v>
      </c>
      <c r="U1360" t="str">
        <f t="shared" si="69"/>
        <v>A0F928</v>
      </c>
      <c r="V1360">
        <v>0</v>
      </c>
      <c r="W1360">
        <v>0</v>
      </c>
      <c r="X1360">
        <v>2</v>
      </c>
      <c r="Z1360">
        <v>0</v>
      </c>
      <c r="AA1360">
        <v>9</v>
      </c>
      <c r="AB1360">
        <v>3</v>
      </c>
      <c r="AC1360">
        <v>0</v>
      </c>
      <c r="AD1360">
        <v>10</v>
      </c>
      <c r="AE1360">
        <v>0</v>
      </c>
      <c r="AF1360">
        <v>3</v>
      </c>
      <c r="AG1360">
        <v>2</v>
      </c>
      <c r="AH1360">
        <v>1</v>
      </c>
      <c r="AI1360" t="s">
        <v>757</v>
      </c>
      <c r="AJ1360">
        <v>35.785088999999999</v>
      </c>
      <c r="AK1360" t="s">
        <v>758</v>
      </c>
      <c r="AL1360">
        <v>-84.030131999999995</v>
      </c>
      <c r="AM1360">
        <v>25</v>
      </c>
      <c r="AN1360">
        <v>1600</v>
      </c>
      <c r="AO1360" t="s">
        <v>118</v>
      </c>
      <c r="AP1360">
        <v>-143</v>
      </c>
      <c r="AQ1360">
        <v>4</v>
      </c>
      <c r="AR1360">
        <v>768</v>
      </c>
      <c r="AZ1360">
        <v>300</v>
      </c>
      <c r="BA1360">
        <v>1</v>
      </c>
      <c r="BB1360" t="str">
        <f t="shared" si="67"/>
        <v xml:space="preserve">N162AM  </v>
      </c>
      <c r="BC1360">
        <v>1</v>
      </c>
      <c r="BE1360">
        <v>0</v>
      </c>
      <c r="BF1360">
        <v>0</v>
      </c>
      <c r="BG1360">
        <v>0</v>
      </c>
      <c r="BH1360">
        <v>1875</v>
      </c>
      <c r="BI1360">
        <v>1</v>
      </c>
      <c r="BJ1360">
        <v>1</v>
      </c>
      <c r="BK1360">
        <v>1</v>
      </c>
      <c r="BL1360">
        <v>0</v>
      </c>
      <c r="BO1360">
        <v>0</v>
      </c>
      <c r="BP1360">
        <v>0</v>
      </c>
      <c r="BW1360" t="str">
        <f>"14:50:26.583"</f>
        <v>14:50:26.583</v>
      </c>
      <c r="CJ1360">
        <v>3</v>
      </c>
      <c r="CK1360">
        <v>2</v>
      </c>
      <c r="CL1360">
        <v>0</v>
      </c>
      <c r="CM1360">
        <v>2</v>
      </c>
      <c r="CN1360">
        <v>0</v>
      </c>
      <c r="CO1360">
        <v>5</v>
      </c>
      <c r="CP1360" t="s">
        <v>119</v>
      </c>
      <c r="CQ1360">
        <v>232</v>
      </c>
      <c r="CR1360">
        <v>2</v>
      </c>
      <c r="CW1360">
        <v>6741874</v>
      </c>
      <c r="CY1360">
        <v>1</v>
      </c>
      <c r="CZ1360">
        <v>0</v>
      </c>
      <c r="DA1360">
        <v>1</v>
      </c>
      <c r="DB1360">
        <v>0</v>
      </c>
      <c r="DC1360">
        <v>0</v>
      </c>
      <c r="DD1360">
        <v>1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"12/16/2021 14:50:26.781"</f>
        <v>12/16/2021 14:50:26.781</v>
      </c>
      <c r="C1361" t="str">
        <f t="shared" si="66"/>
        <v>FFDFD3C0</v>
      </c>
      <c r="D1361" t="s">
        <v>113</v>
      </c>
      <c r="E1361">
        <v>8</v>
      </c>
      <c r="H1361">
        <v>176</v>
      </c>
      <c r="I1361" t="s">
        <v>114</v>
      </c>
      <c r="J1361" t="s">
        <v>115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>"14:50:26.578"</f>
        <v>14:50:26.578</v>
      </c>
      <c r="T1361" t="str">
        <f>"14:50:26.078"</f>
        <v>14:50:26.078</v>
      </c>
      <c r="U1361" t="str">
        <f t="shared" si="69"/>
        <v>A0F928</v>
      </c>
      <c r="V1361">
        <v>0</v>
      </c>
      <c r="W1361">
        <v>0</v>
      </c>
      <c r="X1361">
        <v>2</v>
      </c>
      <c r="Z1361">
        <v>0</v>
      </c>
      <c r="AA1361">
        <v>9</v>
      </c>
      <c r="AB1361">
        <v>3</v>
      </c>
      <c r="AC1361">
        <v>0</v>
      </c>
      <c r="AD1361">
        <v>10</v>
      </c>
      <c r="AE1361">
        <v>0</v>
      </c>
      <c r="AF1361">
        <v>3</v>
      </c>
      <c r="AG1361">
        <v>2</v>
      </c>
      <c r="AH1361">
        <v>1</v>
      </c>
      <c r="AI1361" t="s">
        <v>757</v>
      </c>
      <c r="AJ1361">
        <v>35.785088999999999</v>
      </c>
      <c r="AK1361" t="s">
        <v>758</v>
      </c>
      <c r="AL1361">
        <v>-84.030131999999995</v>
      </c>
      <c r="AM1361">
        <v>25</v>
      </c>
      <c r="AN1361">
        <v>1600</v>
      </c>
      <c r="AO1361" t="s">
        <v>118</v>
      </c>
      <c r="AP1361">
        <v>-143</v>
      </c>
      <c r="AQ1361">
        <v>4</v>
      </c>
      <c r="AR1361">
        <v>768</v>
      </c>
      <c r="AZ1361">
        <v>300</v>
      </c>
      <c r="BA1361">
        <v>1</v>
      </c>
      <c r="BB1361" t="str">
        <f t="shared" si="67"/>
        <v xml:space="preserve">N162AM  </v>
      </c>
      <c r="BC1361">
        <v>1</v>
      </c>
      <c r="BE1361">
        <v>0</v>
      </c>
      <c r="BF1361">
        <v>0</v>
      </c>
      <c r="BG1361">
        <v>0</v>
      </c>
      <c r="BH1361">
        <v>1875</v>
      </c>
      <c r="BI1361">
        <v>1</v>
      </c>
      <c r="BJ1361">
        <v>1</v>
      </c>
      <c r="BK1361">
        <v>1</v>
      </c>
      <c r="BL1361">
        <v>0</v>
      </c>
      <c r="BO1361">
        <v>0</v>
      </c>
      <c r="BP1361">
        <v>0</v>
      </c>
      <c r="BW1361" t="str">
        <f>"14:50:26.583"</f>
        <v>14:50:26.583</v>
      </c>
      <c r="CJ1361">
        <v>3</v>
      </c>
      <c r="CK1361">
        <v>2</v>
      </c>
      <c r="CL1361">
        <v>0</v>
      </c>
      <c r="CM1361">
        <v>2</v>
      </c>
      <c r="CN1361">
        <v>0</v>
      </c>
      <c r="CO1361">
        <v>5</v>
      </c>
      <c r="CP1361" t="s">
        <v>119</v>
      </c>
      <c r="CQ1361">
        <v>232</v>
      </c>
      <c r="CR1361">
        <v>2</v>
      </c>
      <c r="CW1361">
        <v>6741874</v>
      </c>
      <c r="CY1361">
        <v>1</v>
      </c>
      <c r="CZ1361">
        <v>0</v>
      </c>
      <c r="DA1361">
        <v>1</v>
      </c>
      <c r="DB1361">
        <v>0</v>
      </c>
      <c r="DC1361">
        <v>0</v>
      </c>
      <c r="DD1361">
        <v>1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"12/16/2021 14:50:27.609"</f>
        <v>12/16/2021 14:50:27.609</v>
      </c>
      <c r="C1362" t="str">
        <f t="shared" si="66"/>
        <v>FFDFD3C0</v>
      </c>
      <c r="D1362" t="s">
        <v>133</v>
      </c>
      <c r="E1362">
        <v>44</v>
      </c>
      <c r="H1362">
        <v>131</v>
      </c>
      <c r="I1362" t="s">
        <v>134</v>
      </c>
      <c r="J1362" t="s">
        <v>135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"14:50:27.391"</f>
        <v>14:50:27.391</v>
      </c>
      <c r="T1362" t="str">
        <f>"14:50:26.991"</f>
        <v>14:50:26.991</v>
      </c>
      <c r="U1362" t="str">
        <f t="shared" si="69"/>
        <v>A0F928</v>
      </c>
      <c r="V1362">
        <v>0</v>
      </c>
      <c r="W1362">
        <v>0</v>
      </c>
      <c r="X1362">
        <v>2</v>
      </c>
      <c r="Z1362">
        <v>0</v>
      </c>
      <c r="AA1362">
        <v>9</v>
      </c>
      <c r="AB1362">
        <v>3</v>
      </c>
      <c r="AC1362">
        <v>0</v>
      </c>
      <c r="AD1362">
        <v>10</v>
      </c>
      <c r="AE1362">
        <v>0</v>
      </c>
      <c r="AF1362">
        <v>3</v>
      </c>
      <c r="AG1362">
        <v>2</v>
      </c>
      <c r="AH1362">
        <v>1</v>
      </c>
      <c r="AI1362" t="s">
        <v>173</v>
      </c>
      <c r="AJ1362">
        <v>35.785131</v>
      </c>
      <c r="AK1362" t="s">
        <v>759</v>
      </c>
      <c r="AL1362">
        <v>-84.030754999999999</v>
      </c>
      <c r="AM1362">
        <v>25</v>
      </c>
      <c r="AN1362">
        <v>1600</v>
      </c>
      <c r="AO1362" t="s">
        <v>118</v>
      </c>
      <c r="AP1362">
        <v>-144</v>
      </c>
      <c r="AQ1362">
        <v>11</v>
      </c>
      <c r="AR1362">
        <v>704</v>
      </c>
      <c r="AZ1362">
        <v>300</v>
      </c>
      <c r="BA1362">
        <v>1</v>
      </c>
      <c r="BB1362" t="str">
        <f t="shared" si="67"/>
        <v xml:space="preserve">N162AM  </v>
      </c>
      <c r="BC1362">
        <v>1</v>
      </c>
      <c r="BE1362">
        <v>0</v>
      </c>
      <c r="BF1362">
        <v>0</v>
      </c>
      <c r="BG1362">
        <v>0</v>
      </c>
      <c r="BH1362">
        <v>1875</v>
      </c>
      <c r="BI1362">
        <v>1</v>
      </c>
      <c r="BJ1362">
        <v>1</v>
      </c>
      <c r="BK1362">
        <v>1</v>
      </c>
      <c r="BL1362">
        <v>0</v>
      </c>
      <c r="BO1362">
        <v>0</v>
      </c>
      <c r="BP1362">
        <v>0</v>
      </c>
      <c r="BW1362" t="str">
        <f>"14:50:27.394"</f>
        <v>14:50:27.394</v>
      </c>
      <c r="CJ1362">
        <v>3</v>
      </c>
      <c r="CK1362">
        <v>2</v>
      </c>
      <c r="CL1362">
        <v>0</v>
      </c>
      <c r="CM1362">
        <v>2</v>
      </c>
      <c r="CN1362">
        <v>0</v>
      </c>
      <c r="CO1362">
        <v>6</v>
      </c>
      <c r="CP1362" t="s">
        <v>119</v>
      </c>
      <c r="CQ1362">
        <v>232</v>
      </c>
      <c r="CR1362">
        <v>2</v>
      </c>
      <c r="CW1362">
        <v>6743120</v>
      </c>
      <c r="CY1362">
        <v>1</v>
      </c>
      <c r="CZ1362">
        <v>0</v>
      </c>
      <c r="DA1362">
        <v>0</v>
      </c>
      <c r="DB1362">
        <v>0</v>
      </c>
      <c r="DC1362">
        <v>0</v>
      </c>
      <c r="DD1362">
        <v>1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"12/16/2021 14:50:27.609"</f>
        <v>12/16/2021 14:50:27.609</v>
      </c>
      <c r="C1363" t="str">
        <f t="shared" si="66"/>
        <v>FFDFD3C0</v>
      </c>
      <c r="D1363" t="s">
        <v>113</v>
      </c>
      <c r="E1363">
        <v>8</v>
      </c>
      <c r="H1363">
        <v>176</v>
      </c>
      <c r="I1363" t="s">
        <v>114</v>
      </c>
      <c r="J1363" t="s">
        <v>115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"14:50:27.391"</f>
        <v>14:50:27.391</v>
      </c>
      <c r="T1363" t="str">
        <f>"14:50:26.991"</f>
        <v>14:50:26.991</v>
      </c>
      <c r="U1363" t="str">
        <f t="shared" si="69"/>
        <v>A0F928</v>
      </c>
      <c r="V1363">
        <v>0</v>
      </c>
      <c r="W1363">
        <v>0</v>
      </c>
      <c r="X1363">
        <v>2</v>
      </c>
      <c r="Z1363">
        <v>0</v>
      </c>
      <c r="AA1363">
        <v>9</v>
      </c>
      <c r="AB1363">
        <v>3</v>
      </c>
      <c r="AC1363">
        <v>0</v>
      </c>
      <c r="AD1363">
        <v>10</v>
      </c>
      <c r="AE1363">
        <v>0</v>
      </c>
      <c r="AF1363">
        <v>3</v>
      </c>
      <c r="AG1363">
        <v>2</v>
      </c>
      <c r="AH1363">
        <v>1</v>
      </c>
      <c r="AI1363" t="s">
        <v>173</v>
      </c>
      <c r="AJ1363">
        <v>35.785131</v>
      </c>
      <c r="AK1363" t="s">
        <v>759</v>
      </c>
      <c r="AL1363">
        <v>-84.030754999999999</v>
      </c>
      <c r="AM1363">
        <v>25</v>
      </c>
      <c r="AN1363">
        <v>1600</v>
      </c>
      <c r="AO1363" t="s">
        <v>118</v>
      </c>
      <c r="AP1363">
        <v>-144</v>
      </c>
      <c r="AQ1363">
        <v>11</v>
      </c>
      <c r="AR1363">
        <v>704</v>
      </c>
      <c r="AZ1363">
        <v>300</v>
      </c>
      <c r="BA1363">
        <v>1</v>
      </c>
      <c r="BB1363" t="str">
        <f t="shared" si="67"/>
        <v xml:space="preserve">N162AM  </v>
      </c>
      <c r="BC1363">
        <v>1</v>
      </c>
      <c r="BE1363">
        <v>0</v>
      </c>
      <c r="BF1363">
        <v>0</v>
      </c>
      <c r="BG1363">
        <v>0</v>
      </c>
      <c r="BH1363">
        <v>1875</v>
      </c>
      <c r="BI1363">
        <v>1</v>
      </c>
      <c r="BJ1363">
        <v>1</v>
      </c>
      <c r="BK1363">
        <v>1</v>
      </c>
      <c r="BL1363">
        <v>0</v>
      </c>
      <c r="BO1363">
        <v>0</v>
      </c>
      <c r="BP1363">
        <v>0</v>
      </c>
      <c r="BW1363" t="str">
        <f>"14:50:27.394"</f>
        <v>14:50:27.394</v>
      </c>
      <c r="CJ1363">
        <v>3</v>
      </c>
      <c r="CK1363">
        <v>2</v>
      </c>
      <c r="CL1363">
        <v>0</v>
      </c>
      <c r="CM1363">
        <v>2</v>
      </c>
      <c r="CN1363">
        <v>0</v>
      </c>
      <c r="CO1363">
        <v>6</v>
      </c>
      <c r="CP1363" t="s">
        <v>119</v>
      </c>
      <c r="CQ1363">
        <v>232</v>
      </c>
      <c r="CR1363">
        <v>2</v>
      </c>
      <c r="CW1363">
        <v>6743120</v>
      </c>
      <c r="CY1363">
        <v>1</v>
      </c>
      <c r="CZ1363">
        <v>0</v>
      </c>
      <c r="DA1363">
        <v>1</v>
      </c>
      <c r="DB1363">
        <v>0</v>
      </c>
      <c r="DC1363">
        <v>0</v>
      </c>
      <c r="DD1363">
        <v>1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"12/16/2021 14:50:27.625"</f>
        <v>12/16/2021 14:50:27.625</v>
      </c>
      <c r="C1364" t="str">
        <f t="shared" si="66"/>
        <v>FFDFD3C0</v>
      </c>
      <c r="D1364" t="s">
        <v>124</v>
      </c>
      <c r="E1364">
        <v>10</v>
      </c>
      <c r="F1364">
        <v>1010</v>
      </c>
      <c r="G1364" t="s">
        <v>130</v>
      </c>
      <c r="J1364" t="s">
        <v>125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"14:50:27.391"</f>
        <v>14:50:27.391</v>
      </c>
      <c r="T1364" t="str">
        <f>"14:50:26.991"</f>
        <v>14:50:26.991</v>
      </c>
      <c r="U1364" t="str">
        <f t="shared" si="69"/>
        <v>A0F928</v>
      </c>
      <c r="V1364">
        <v>0</v>
      </c>
      <c r="W1364">
        <v>0</v>
      </c>
      <c r="X1364">
        <v>2</v>
      </c>
      <c r="Z1364">
        <v>0</v>
      </c>
      <c r="AA1364">
        <v>9</v>
      </c>
      <c r="AB1364">
        <v>3</v>
      </c>
      <c r="AC1364">
        <v>0</v>
      </c>
      <c r="AD1364">
        <v>10</v>
      </c>
      <c r="AE1364">
        <v>0</v>
      </c>
      <c r="AF1364">
        <v>3</v>
      </c>
      <c r="AG1364">
        <v>2</v>
      </c>
      <c r="AH1364">
        <v>1</v>
      </c>
      <c r="AI1364" t="s">
        <v>173</v>
      </c>
      <c r="AJ1364">
        <v>35.785131</v>
      </c>
      <c r="AK1364" t="s">
        <v>759</v>
      </c>
      <c r="AL1364">
        <v>-84.030754999999999</v>
      </c>
      <c r="AM1364">
        <v>25</v>
      </c>
      <c r="AN1364">
        <v>1600</v>
      </c>
      <c r="AO1364" t="s">
        <v>118</v>
      </c>
      <c r="AP1364">
        <v>-144</v>
      </c>
      <c r="AQ1364">
        <v>11</v>
      </c>
      <c r="AR1364">
        <v>704</v>
      </c>
      <c r="AZ1364">
        <v>300</v>
      </c>
      <c r="BA1364">
        <v>1</v>
      </c>
      <c r="BB1364" t="str">
        <f t="shared" si="67"/>
        <v xml:space="preserve">N162AM  </v>
      </c>
      <c r="BC1364">
        <v>1</v>
      </c>
      <c r="BE1364">
        <v>0</v>
      </c>
      <c r="BF1364">
        <v>0</v>
      </c>
      <c r="BG1364">
        <v>0</v>
      </c>
      <c r="BH1364">
        <v>1875</v>
      </c>
      <c r="BI1364">
        <v>1</v>
      </c>
      <c r="BJ1364">
        <v>1</v>
      </c>
      <c r="BK1364">
        <v>1</v>
      </c>
      <c r="BL1364">
        <v>0</v>
      </c>
      <c r="BO1364">
        <v>0</v>
      </c>
      <c r="BP1364">
        <v>0</v>
      </c>
      <c r="BW1364" t="str">
        <f>"14:50:27.394"</f>
        <v>14:50:27.394</v>
      </c>
      <c r="CJ1364">
        <v>3</v>
      </c>
      <c r="CK1364">
        <v>2</v>
      </c>
      <c r="CL1364">
        <v>0</v>
      </c>
      <c r="CM1364">
        <v>2</v>
      </c>
      <c r="CN1364">
        <v>0</v>
      </c>
      <c r="CO1364">
        <v>6</v>
      </c>
      <c r="CP1364" t="s">
        <v>119</v>
      </c>
      <c r="CQ1364">
        <v>232</v>
      </c>
      <c r="CR1364">
        <v>2</v>
      </c>
      <c r="CW1364">
        <v>6743120</v>
      </c>
      <c r="CY1364">
        <v>1</v>
      </c>
      <c r="CZ1364">
        <v>0</v>
      </c>
      <c r="DA1364">
        <v>1</v>
      </c>
      <c r="DB1364">
        <v>0</v>
      </c>
      <c r="DC1364">
        <v>0</v>
      </c>
      <c r="DD1364">
        <v>1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"12/16/2021 14:50:27.625"</f>
        <v>12/16/2021 14:50:27.625</v>
      </c>
      <c r="C1365" t="str">
        <f t="shared" si="66"/>
        <v>FFDFD3C0</v>
      </c>
      <c r="D1365" t="s">
        <v>124</v>
      </c>
      <c r="E1365">
        <v>5</v>
      </c>
      <c r="F1365">
        <v>1005</v>
      </c>
      <c r="G1365" t="s">
        <v>114</v>
      </c>
      <c r="J1365" t="s">
        <v>125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"14:50:27.391"</f>
        <v>14:50:27.391</v>
      </c>
      <c r="T1365" t="str">
        <f>"14:50:26.991"</f>
        <v>14:50:26.991</v>
      </c>
      <c r="U1365" t="str">
        <f t="shared" si="69"/>
        <v>A0F928</v>
      </c>
      <c r="V1365">
        <v>0</v>
      </c>
      <c r="W1365">
        <v>0</v>
      </c>
      <c r="X1365">
        <v>2</v>
      </c>
      <c r="Z1365">
        <v>0</v>
      </c>
      <c r="AA1365">
        <v>9</v>
      </c>
      <c r="AB1365">
        <v>3</v>
      </c>
      <c r="AC1365">
        <v>0</v>
      </c>
      <c r="AD1365">
        <v>10</v>
      </c>
      <c r="AE1365">
        <v>0</v>
      </c>
      <c r="AF1365">
        <v>3</v>
      </c>
      <c r="AG1365">
        <v>2</v>
      </c>
      <c r="AH1365">
        <v>1</v>
      </c>
      <c r="AI1365" t="s">
        <v>173</v>
      </c>
      <c r="AJ1365">
        <v>35.785131</v>
      </c>
      <c r="AK1365" t="s">
        <v>759</v>
      </c>
      <c r="AL1365">
        <v>-84.030754999999999</v>
      </c>
      <c r="AM1365">
        <v>25</v>
      </c>
      <c r="AN1365">
        <v>1600</v>
      </c>
      <c r="AO1365" t="s">
        <v>118</v>
      </c>
      <c r="AP1365">
        <v>-144</v>
      </c>
      <c r="AQ1365">
        <v>11</v>
      </c>
      <c r="AR1365">
        <v>704</v>
      </c>
      <c r="AZ1365">
        <v>300</v>
      </c>
      <c r="BA1365">
        <v>1</v>
      </c>
      <c r="BB1365" t="str">
        <f t="shared" si="67"/>
        <v xml:space="preserve">N162AM  </v>
      </c>
      <c r="BC1365">
        <v>1</v>
      </c>
      <c r="BE1365">
        <v>0</v>
      </c>
      <c r="BF1365">
        <v>0</v>
      </c>
      <c r="BG1365">
        <v>0</v>
      </c>
      <c r="BH1365">
        <v>1875</v>
      </c>
      <c r="BI1365">
        <v>1</v>
      </c>
      <c r="BJ1365">
        <v>1</v>
      </c>
      <c r="BK1365">
        <v>1</v>
      </c>
      <c r="BL1365">
        <v>0</v>
      </c>
      <c r="BO1365">
        <v>0</v>
      </c>
      <c r="BP1365">
        <v>0</v>
      </c>
      <c r="BW1365" t="str">
        <f>"14:50:27.394"</f>
        <v>14:50:27.394</v>
      </c>
      <c r="CJ1365">
        <v>3</v>
      </c>
      <c r="CK1365">
        <v>2</v>
      </c>
      <c r="CL1365">
        <v>0</v>
      </c>
      <c r="CM1365">
        <v>2</v>
      </c>
      <c r="CN1365">
        <v>0</v>
      </c>
      <c r="CO1365">
        <v>6</v>
      </c>
      <c r="CP1365" t="s">
        <v>119</v>
      </c>
      <c r="CQ1365">
        <v>232</v>
      </c>
      <c r="CR1365">
        <v>2</v>
      </c>
      <c r="CW1365">
        <v>6743120</v>
      </c>
      <c r="CY1365">
        <v>1</v>
      </c>
      <c r="CZ1365">
        <v>0</v>
      </c>
      <c r="DA1365">
        <v>1</v>
      </c>
      <c r="DB1365">
        <v>0</v>
      </c>
      <c r="DC1365">
        <v>0</v>
      </c>
      <c r="DD1365">
        <v>1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"12/16/2021 14:50:28.562"</f>
        <v>12/16/2021 14:50:28.562</v>
      </c>
      <c r="C1366" t="str">
        <f t="shared" si="66"/>
        <v>FFDFD3C0</v>
      </c>
      <c r="D1366" t="s">
        <v>133</v>
      </c>
      <c r="E1366">
        <v>44</v>
      </c>
      <c r="H1366">
        <v>131</v>
      </c>
      <c r="I1366" t="s">
        <v>134</v>
      </c>
      <c r="J1366" t="s">
        <v>135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"14:50:28.352"</f>
        <v>14:50:28.352</v>
      </c>
      <c r="T1366" t="str">
        <f>"14:50:27.952"</f>
        <v>14:50:27.952</v>
      </c>
      <c r="U1366" t="str">
        <f t="shared" si="69"/>
        <v>A0F928</v>
      </c>
      <c r="V1366">
        <v>0</v>
      </c>
      <c r="W1366">
        <v>0</v>
      </c>
      <c r="X1366">
        <v>2</v>
      </c>
      <c r="Z1366">
        <v>0</v>
      </c>
      <c r="AA1366">
        <v>9</v>
      </c>
      <c r="AB1366">
        <v>3</v>
      </c>
      <c r="AC1366">
        <v>0</v>
      </c>
      <c r="AD1366">
        <v>10</v>
      </c>
      <c r="AE1366">
        <v>0</v>
      </c>
      <c r="AF1366">
        <v>3</v>
      </c>
      <c r="AG1366">
        <v>2</v>
      </c>
      <c r="AH1366">
        <v>1</v>
      </c>
      <c r="AI1366" t="s">
        <v>750</v>
      </c>
      <c r="AJ1366">
        <v>35.785217000000003</v>
      </c>
      <c r="AK1366" t="s">
        <v>760</v>
      </c>
      <c r="AL1366">
        <v>-84.031570000000002</v>
      </c>
      <c r="AM1366">
        <v>25</v>
      </c>
      <c r="AN1366">
        <v>1625</v>
      </c>
      <c r="AO1366" t="s">
        <v>118</v>
      </c>
      <c r="AP1366">
        <v>-144</v>
      </c>
      <c r="AQ1366">
        <v>18</v>
      </c>
      <c r="AR1366">
        <v>704</v>
      </c>
      <c r="AZ1366">
        <v>300</v>
      </c>
      <c r="BA1366">
        <v>1</v>
      </c>
      <c r="BB1366" t="str">
        <f t="shared" si="67"/>
        <v xml:space="preserve">N162AM  </v>
      </c>
      <c r="BC1366">
        <v>1</v>
      </c>
      <c r="BE1366">
        <v>0</v>
      </c>
      <c r="BF1366">
        <v>0</v>
      </c>
      <c r="BG1366">
        <v>0</v>
      </c>
      <c r="BH1366">
        <v>1875</v>
      </c>
      <c r="BI1366">
        <v>1</v>
      </c>
      <c r="BJ1366">
        <v>1</v>
      </c>
      <c r="BK1366">
        <v>1</v>
      </c>
      <c r="BL1366">
        <v>0</v>
      </c>
      <c r="BO1366">
        <v>0</v>
      </c>
      <c r="BP1366">
        <v>0</v>
      </c>
      <c r="BW1366" t="str">
        <f>"14:50:28.358"</f>
        <v>14:50:28.358</v>
      </c>
      <c r="CJ1366">
        <v>3</v>
      </c>
      <c r="CK1366">
        <v>2</v>
      </c>
      <c r="CL1366">
        <v>0</v>
      </c>
      <c r="CM1366">
        <v>2</v>
      </c>
      <c r="CN1366">
        <v>0</v>
      </c>
      <c r="CO1366">
        <v>6</v>
      </c>
      <c r="CP1366" t="s">
        <v>119</v>
      </c>
      <c r="CQ1366">
        <v>232</v>
      </c>
      <c r="CR1366">
        <v>2</v>
      </c>
      <c r="CW1366">
        <v>6744606</v>
      </c>
      <c r="CY1366">
        <v>1</v>
      </c>
      <c r="CZ1366">
        <v>0</v>
      </c>
      <c r="DA1366">
        <v>0</v>
      </c>
      <c r="DB1366">
        <v>0</v>
      </c>
      <c r="DC1366">
        <v>0</v>
      </c>
      <c r="DD1366">
        <v>1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"12/16/2021 14:50:28.562"</f>
        <v>12/16/2021 14:50:28.562</v>
      </c>
      <c r="C1367" t="str">
        <f t="shared" si="66"/>
        <v>FFDFD3C0</v>
      </c>
      <c r="D1367" t="s">
        <v>113</v>
      </c>
      <c r="E1367">
        <v>8</v>
      </c>
      <c r="H1367">
        <v>176</v>
      </c>
      <c r="I1367" t="s">
        <v>114</v>
      </c>
      <c r="J1367" t="s">
        <v>115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"14:50:28.352"</f>
        <v>14:50:28.352</v>
      </c>
      <c r="T1367" t="str">
        <f>"14:50:27.952"</f>
        <v>14:50:27.952</v>
      </c>
      <c r="U1367" t="str">
        <f t="shared" si="69"/>
        <v>A0F928</v>
      </c>
      <c r="V1367">
        <v>0</v>
      </c>
      <c r="W1367">
        <v>0</v>
      </c>
      <c r="X1367">
        <v>2</v>
      </c>
      <c r="Z1367">
        <v>0</v>
      </c>
      <c r="AA1367">
        <v>9</v>
      </c>
      <c r="AB1367">
        <v>3</v>
      </c>
      <c r="AC1367">
        <v>0</v>
      </c>
      <c r="AD1367">
        <v>10</v>
      </c>
      <c r="AE1367">
        <v>0</v>
      </c>
      <c r="AF1367">
        <v>3</v>
      </c>
      <c r="AG1367">
        <v>2</v>
      </c>
      <c r="AH1367">
        <v>1</v>
      </c>
      <c r="AI1367" t="s">
        <v>750</v>
      </c>
      <c r="AJ1367">
        <v>35.785217000000003</v>
      </c>
      <c r="AK1367" t="s">
        <v>760</v>
      </c>
      <c r="AL1367">
        <v>-84.031570000000002</v>
      </c>
      <c r="AM1367">
        <v>25</v>
      </c>
      <c r="AN1367">
        <v>1625</v>
      </c>
      <c r="AO1367" t="s">
        <v>118</v>
      </c>
      <c r="AP1367">
        <v>-144</v>
      </c>
      <c r="AQ1367">
        <v>18</v>
      </c>
      <c r="AR1367">
        <v>704</v>
      </c>
      <c r="AZ1367">
        <v>300</v>
      </c>
      <c r="BA1367">
        <v>1</v>
      </c>
      <c r="BB1367" t="str">
        <f t="shared" si="67"/>
        <v xml:space="preserve">N162AM  </v>
      </c>
      <c r="BC1367">
        <v>1</v>
      </c>
      <c r="BE1367">
        <v>0</v>
      </c>
      <c r="BF1367">
        <v>0</v>
      </c>
      <c r="BG1367">
        <v>0</v>
      </c>
      <c r="BH1367">
        <v>1875</v>
      </c>
      <c r="BI1367">
        <v>1</v>
      </c>
      <c r="BJ1367">
        <v>1</v>
      </c>
      <c r="BK1367">
        <v>1</v>
      </c>
      <c r="BL1367">
        <v>0</v>
      </c>
      <c r="BO1367">
        <v>0</v>
      </c>
      <c r="BP1367">
        <v>0</v>
      </c>
      <c r="BW1367" t="str">
        <f>"14:50:28.358"</f>
        <v>14:50:28.358</v>
      </c>
      <c r="CJ1367">
        <v>3</v>
      </c>
      <c r="CK1367">
        <v>2</v>
      </c>
      <c r="CL1367">
        <v>0</v>
      </c>
      <c r="CM1367">
        <v>2</v>
      </c>
      <c r="CN1367">
        <v>0</v>
      </c>
      <c r="CO1367">
        <v>6</v>
      </c>
      <c r="CP1367" t="s">
        <v>119</v>
      </c>
      <c r="CQ1367">
        <v>232</v>
      </c>
      <c r="CR1367">
        <v>2</v>
      </c>
      <c r="CW1367">
        <v>6744606</v>
      </c>
      <c r="CY1367">
        <v>1</v>
      </c>
      <c r="CZ1367">
        <v>0</v>
      </c>
      <c r="DA1367">
        <v>1</v>
      </c>
      <c r="DB1367">
        <v>0</v>
      </c>
      <c r="DC1367">
        <v>0</v>
      </c>
      <c r="DD1367">
        <v>1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>"12/16/2021 14:50:28.609"</f>
        <v>12/16/2021 14:50:28.609</v>
      </c>
      <c r="C1368" t="str">
        <f t="shared" si="66"/>
        <v>FFDFD3C0</v>
      </c>
      <c r="D1368" t="s">
        <v>124</v>
      </c>
      <c r="E1368">
        <v>10</v>
      </c>
      <c r="F1368">
        <v>1010</v>
      </c>
      <c r="G1368" t="s">
        <v>130</v>
      </c>
      <c r="J1368" t="s">
        <v>125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"14:50:28.352"</f>
        <v>14:50:28.352</v>
      </c>
      <c r="T1368" t="str">
        <f>"14:50:27.952"</f>
        <v>14:50:27.952</v>
      </c>
      <c r="U1368" t="str">
        <f t="shared" si="69"/>
        <v>A0F928</v>
      </c>
      <c r="V1368">
        <v>0</v>
      </c>
      <c r="W1368">
        <v>0</v>
      </c>
      <c r="X1368">
        <v>2</v>
      </c>
      <c r="Z1368">
        <v>0</v>
      </c>
      <c r="AA1368">
        <v>9</v>
      </c>
      <c r="AB1368">
        <v>3</v>
      </c>
      <c r="AC1368">
        <v>0</v>
      </c>
      <c r="AD1368">
        <v>10</v>
      </c>
      <c r="AE1368">
        <v>0</v>
      </c>
      <c r="AF1368">
        <v>3</v>
      </c>
      <c r="AG1368">
        <v>2</v>
      </c>
      <c r="AH1368">
        <v>1</v>
      </c>
      <c r="AI1368" t="s">
        <v>750</v>
      </c>
      <c r="AJ1368">
        <v>35.785217000000003</v>
      </c>
      <c r="AK1368" t="s">
        <v>760</v>
      </c>
      <c r="AL1368">
        <v>-84.031570000000002</v>
      </c>
      <c r="AM1368">
        <v>25</v>
      </c>
      <c r="AN1368">
        <v>1625</v>
      </c>
      <c r="AO1368" t="s">
        <v>118</v>
      </c>
      <c r="AP1368">
        <v>-144</v>
      </c>
      <c r="AQ1368">
        <v>18</v>
      </c>
      <c r="AR1368">
        <v>704</v>
      </c>
      <c r="AZ1368">
        <v>300</v>
      </c>
      <c r="BA1368">
        <v>1</v>
      </c>
      <c r="BB1368" t="str">
        <f t="shared" si="67"/>
        <v xml:space="preserve">N162AM  </v>
      </c>
      <c r="BC1368">
        <v>1</v>
      </c>
      <c r="BE1368">
        <v>0</v>
      </c>
      <c r="BF1368">
        <v>0</v>
      </c>
      <c r="BG1368">
        <v>0</v>
      </c>
      <c r="BH1368">
        <v>1875</v>
      </c>
      <c r="BI1368">
        <v>1</v>
      </c>
      <c r="BJ1368">
        <v>1</v>
      </c>
      <c r="BK1368">
        <v>1</v>
      </c>
      <c r="BL1368">
        <v>0</v>
      </c>
      <c r="BO1368">
        <v>0</v>
      </c>
      <c r="BP1368">
        <v>0</v>
      </c>
      <c r="BW1368" t="str">
        <f>"14:50:28.358"</f>
        <v>14:50:28.358</v>
      </c>
      <c r="CJ1368">
        <v>3</v>
      </c>
      <c r="CK1368">
        <v>2</v>
      </c>
      <c r="CL1368">
        <v>0</v>
      </c>
      <c r="CM1368">
        <v>2</v>
      </c>
      <c r="CN1368">
        <v>0</v>
      </c>
      <c r="CO1368">
        <v>6</v>
      </c>
      <c r="CP1368" t="s">
        <v>119</v>
      </c>
      <c r="CQ1368">
        <v>232</v>
      </c>
      <c r="CR1368">
        <v>2</v>
      </c>
      <c r="CW1368">
        <v>6744606</v>
      </c>
      <c r="CY1368">
        <v>1</v>
      </c>
      <c r="CZ1368">
        <v>0</v>
      </c>
      <c r="DA1368">
        <v>1</v>
      </c>
      <c r="DB1368">
        <v>0</v>
      </c>
      <c r="DC1368">
        <v>0</v>
      </c>
      <c r="DD1368">
        <v>1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>"12/16/2021 14:50:28.609"</f>
        <v>12/16/2021 14:50:28.609</v>
      </c>
      <c r="C1369" t="str">
        <f t="shared" si="66"/>
        <v>FFDFD3C0</v>
      </c>
      <c r="D1369" t="s">
        <v>124</v>
      </c>
      <c r="E1369">
        <v>5</v>
      </c>
      <c r="F1369">
        <v>1005</v>
      </c>
      <c r="G1369" t="s">
        <v>114</v>
      </c>
      <c r="J1369" t="s">
        <v>125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"14:50:28.352"</f>
        <v>14:50:28.352</v>
      </c>
      <c r="T1369" t="str">
        <f>"14:50:27.952"</f>
        <v>14:50:27.952</v>
      </c>
      <c r="U1369" t="str">
        <f t="shared" si="69"/>
        <v>A0F928</v>
      </c>
      <c r="V1369">
        <v>0</v>
      </c>
      <c r="W1369">
        <v>0</v>
      </c>
      <c r="X1369">
        <v>2</v>
      </c>
      <c r="Z1369">
        <v>0</v>
      </c>
      <c r="AA1369">
        <v>9</v>
      </c>
      <c r="AB1369">
        <v>3</v>
      </c>
      <c r="AC1369">
        <v>0</v>
      </c>
      <c r="AD1369">
        <v>10</v>
      </c>
      <c r="AE1369">
        <v>0</v>
      </c>
      <c r="AF1369">
        <v>3</v>
      </c>
      <c r="AG1369">
        <v>2</v>
      </c>
      <c r="AH1369">
        <v>1</v>
      </c>
      <c r="AI1369" t="s">
        <v>750</v>
      </c>
      <c r="AJ1369">
        <v>35.785217000000003</v>
      </c>
      <c r="AK1369" t="s">
        <v>760</v>
      </c>
      <c r="AL1369">
        <v>-84.031570000000002</v>
      </c>
      <c r="AM1369">
        <v>25</v>
      </c>
      <c r="AN1369">
        <v>1625</v>
      </c>
      <c r="AO1369" t="s">
        <v>118</v>
      </c>
      <c r="AP1369">
        <v>-144</v>
      </c>
      <c r="AQ1369">
        <v>18</v>
      </c>
      <c r="AR1369">
        <v>704</v>
      </c>
      <c r="AZ1369">
        <v>300</v>
      </c>
      <c r="BA1369">
        <v>1</v>
      </c>
      <c r="BB1369" t="str">
        <f t="shared" si="67"/>
        <v xml:space="preserve">N162AM  </v>
      </c>
      <c r="BC1369">
        <v>1</v>
      </c>
      <c r="BE1369">
        <v>0</v>
      </c>
      <c r="BF1369">
        <v>0</v>
      </c>
      <c r="BG1369">
        <v>0</v>
      </c>
      <c r="BH1369">
        <v>1875</v>
      </c>
      <c r="BI1369">
        <v>1</v>
      </c>
      <c r="BJ1369">
        <v>1</v>
      </c>
      <c r="BK1369">
        <v>1</v>
      </c>
      <c r="BL1369">
        <v>0</v>
      </c>
      <c r="BO1369">
        <v>0</v>
      </c>
      <c r="BP1369">
        <v>0</v>
      </c>
      <c r="BW1369" t="str">
        <f>"14:50:28.358"</f>
        <v>14:50:28.358</v>
      </c>
      <c r="CJ1369">
        <v>3</v>
      </c>
      <c r="CK1369">
        <v>2</v>
      </c>
      <c r="CL1369">
        <v>0</v>
      </c>
      <c r="CM1369">
        <v>2</v>
      </c>
      <c r="CN1369">
        <v>0</v>
      </c>
      <c r="CO1369">
        <v>6</v>
      </c>
      <c r="CP1369" t="s">
        <v>119</v>
      </c>
      <c r="CQ1369">
        <v>232</v>
      </c>
      <c r="CR1369">
        <v>2</v>
      </c>
      <c r="CW1369">
        <v>6744606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1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>"12/16/2021 14:50:29.710"</f>
        <v>12/16/2021 14:50:29.710</v>
      </c>
      <c r="C1370" t="str">
        <f t="shared" si="66"/>
        <v>FFDFD3C0</v>
      </c>
      <c r="D1370" t="s">
        <v>133</v>
      </c>
      <c r="E1370">
        <v>44</v>
      </c>
      <c r="H1370">
        <v>131</v>
      </c>
      <c r="I1370" t="s">
        <v>134</v>
      </c>
      <c r="J1370" t="s">
        <v>135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"14:50:29.453"</f>
        <v>14:50:29.453</v>
      </c>
      <c r="T1370" t="str">
        <f>"14:50:28.953"</f>
        <v>14:50:28.953</v>
      </c>
      <c r="U1370" t="str">
        <f t="shared" si="69"/>
        <v>A0F928</v>
      </c>
      <c r="V1370">
        <v>0</v>
      </c>
      <c r="W1370">
        <v>0</v>
      </c>
      <c r="X1370">
        <v>2</v>
      </c>
      <c r="Z1370">
        <v>0</v>
      </c>
      <c r="AA1370">
        <v>9</v>
      </c>
      <c r="AB1370">
        <v>3</v>
      </c>
      <c r="AC1370">
        <v>0</v>
      </c>
      <c r="AD1370">
        <v>10</v>
      </c>
      <c r="AE1370">
        <v>0</v>
      </c>
      <c r="AF1370">
        <v>3</v>
      </c>
      <c r="AG1370">
        <v>2</v>
      </c>
      <c r="AH1370">
        <v>1</v>
      </c>
      <c r="AI1370" t="s">
        <v>761</v>
      </c>
      <c r="AJ1370">
        <v>35.785367000000001</v>
      </c>
      <c r="AK1370" t="s">
        <v>762</v>
      </c>
      <c r="AL1370">
        <v>-84.032493000000002</v>
      </c>
      <c r="AM1370">
        <v>25</v>
      </c>
      <c r="AN1370">
        <v>1625</v>
      </c>
      <c r="AO1370" t="s">
        <v>118</v>
      </c>
      <c r="AP1370">
        <v>-144</v>
      </c>
      <c r="AQ1370">
        <v>25</v>
      </c>
      <c r="AR1370">
        <v>640</v>
      </c>
      <c r="AZ1370">
        <v>300</v>
      </c>
      <c r="BA1370">
        <v>1</v>
      </c>
      <c r="BB1370" t="str">
        <f t="shared" si="67"/>
        <v xml:space="preserve">N162AM  </v>
      </c>
      <c r="BC1370">
        <v>1</v>
      </c>
      <c r="BE1370">
        <v>0</v>
      </c>
      <c r="BF1370">
        <v>0</v>
      </c>
      <c r="BG1370">
        <v>0</v>
      </c>
      <c r="BH1370">
        <v>1900</v>
      </c>
      <c r="BI1370">
        <v>1</v>
      </c>
      <c r="BJ1370">
        <v>1</v>
      </c>
      <c r="BK1370">
        <v>1</v>
      </c>
      <c r="BL1370">
        <v>0</v>
      </c>
      <c r="BO1370">
        <v>0</v>
      </c>
      <c r="BP1370">
        <v>0</v>
      </c>
      <c r="BW1370" t="str">
        <f>"14:50:29.460"</f>
        <v>14:50:29.460</v>
      </c>
      <c r="CJ1370">
        <v>3</v>
      </c>
      <c r="CK1370">
        <v>2</v>
      </c>
      <c r="CL1370">
        <v>0</v>
      </c>
      <c r="CM1370">
        <v>2</v>
      </c>
      <c r="CN1370">
        <v>0</v>
      </c>
      <c r="CO1370">
        <v>6</v>
      </c>
      <c r="CP1370" t="s">
        <v>119</v>
      </c>
      <c r="CQ1370">
        <v>232</v>
      </c>
      <c r="CR1370">
        <v>1</v>
      </c>
      <c r="CW1370">
        <v>15545838</v>
      </c>
      <c r="CY1370">
        <v>1</v>
      </c>
      <c r="CZ1370">
        <v>0</v>
      </c>
      <c r="DA1370">
        <v>0</v>
      </c>
      <c r="DB1370">
        <v>0</v>
      </c>
      <c r="DC1370">
        <v>0</v>
      </c>
      <c r="DD1370">
        <v>1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>"12/16/2021 14:50:29.710"</f>
        <v>12/16/2021 14:50:29.710</v>
      </c>
      <c r="C1371" t="str">
        <f t="shared" si="66"/>
        <v>FFDFD3C0</v>
      </c>
      <c r="D1371" t="s">
        <v>113</v>
      </c>
      <c r="E1371">
        <v>8</v>
      </c>
      <c r="H1371">
        <v>176</v>
      </c>
      <c r="I1371" t="s">
        <v>114</v>
      </c>
      <c r="J1371" t="s">
        <v>115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"14:50:29.453"</f>
        <v>14:50:29.453</v>
      </c>
      <c r="T1371" t="str">
        <f>"14:50:28.953"</f>
        <v>14:50:28.953</v>
      </c>
      <c r="U1371" t="str">
        <f t="shared" si="69"/>
        <v>A0F928</v>
      </c>
      <c r="V1371">
        <v>0</v>
      </c>
      <c r="W1371">
        <v>0</v>
      </c>
      <c r="X1371">
        <v>2</v>
      </c>
      <c r="Z1371">
        <v>0</v>
      </c>
      <c r="AA1371">
        <v>9</v>
      </c>
      <c r="AB1371">
        <v>3</v>
      </c>
      <c r="AC1371">
        <v>0</v>
      </c>
      <c r="AD1371">
        <v>10</v>
      </c>
      <c r="AE1371">
        <v>0</v>
      </c>
      <c r="AF1371">
        <v>3</v>
      </c>
      <c r="AG1371">
        <v>2</v>
      </c>
      <c r="AH1371">
        <v>1</v>
      </c>
      <c r="AI1371" t="s">
        <v>761</v>
      </c>
      <c r="AJ1371">
        <v>35.785367000000001</v>
      </c>
      <c r="AK1371" t="s">
        <v>762</v>
      </c>
      <c r="AL1371">
        <v>-84.032493000000002</v>
      </c>
      <c r="AM1371">
        <v>25</v>
      </c>
      <c r="AN1371">
        <v>1625</v>
      </c>
      <c r="AO1371" t="s">
        <v>118</v>
      </c>
      <c r="AP1371">
        <v>-144</v>
      </c>
      <c r="AQ1371">
        <v>25</v>
      </c>
      <c r="AR1371">
        <v>640</v>
      </c>
      <c r="AZ1371">
        <v>300</v>
      </c>
      <c r="BA1371">
        <v>1</v>
      </c>
      <c r="BB1371" t="str">
        <f t="shared" si="67"/>
        <v xml:space="preserve">N162AM  </v>
      </c>
      <c r="BC1371">
        <v>1</v>
      </c>
      <c r="BE1371">
        <v>0</v>
      </c>
      <c r="BF1371">
        <v>0</v>
      </c>
      <c r="BG1371">
        <v>0</v>
      </c>
      <c r="BH1371">
        <v>1900</v>
      </c>
      <c r="BI1371">
        <v>1</v>
      </c>
      <c r="BJ1371">
        <v>1</v>
      </c>
      <c r="BK1371">
        <v>1</v>
      </c>
      <c r="BL1371">
        <v>0</v>
      </c>
      <c r="BO1371">
        <v>0</v>
      </c>
      <c r="BP1371">
        <v>0</v>
      </c>
      <c r="BW1371" t="str">
        <f>"14:50:29.460"</f>
        <v>14:50:29.460</v>
      </c>
      <c r="CJ1371">
        <v>3</v>
      </c>
      <c r="CK1371">
        <v>2</v>
      </c>
      <c r="CL1371">
        <v>0</v>
      </c>
      <c r="CM1371">
        <v>2</v>
      </c>
      <c r="CN1371">
        <v>0</v>
      </c>
      <c r="CO1371">
        <v>6</v>
      </c>
      <c r="CP1371" t="s">
        <v>119</v>
      </c>
      <c r="CQ1371">
        <v>232</v>
      </c>
      <c r="CR1371">
        <v>1</v>
      </c>
      <c r="CW1371">
        <v>15545838</v>
      </c>
      <c r="CY1371">
        <v>1</v>
      </c>
      <c r="CZ1371">
        <v>0</v>
      </c>
      <c r="DA1371">
        <v>1</v>
      </c>
      <c r="DB1371">
        <v>0</v>
      </c>
      <c r="DC1371">
        <v>0</v>
      </c>
      <c r="DD1371">
        <v>1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>"12/16/2021 14:50:29.710"</f>
        <v>12/16/2021 14:50:29.710</v>
      </c>
      <c r="C1372" t="str">
        <f t="shared" si="66"/>
        <v>FFDFD3C0</v>
      </c>
      <c r="D1372" t="s">
        <v>124</v>
      </c>
      <c r="E1372">
        <v>10</v>
      </c>
      <c r="F1372">
        <v>1010</v>
      </c>
      <c r="G1372" t="s">
        <v>130</v>
      </c>
      <c r="J1372" t="s">
        <v>125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"14:50:29.453"</f>
        <v>14:50:29.453</v>
      </c>
      <c r="T1372" t="str">
        <f>"14:50:28.953"</f>
        <v>14:50:28.953</v>
      </c>
      <c r="U1372" t="str">
        <f t="shared" si="69"/>
        <v>A0F928</v>
      </c>
      <c r="V1372">
        <v>0</v>
      </c>
      <c r="W1372">
        <v>0</v>
      </c>
      <c r="X1372">
        <v>2</v>
      </c>
      <c r="Z1372">
        <v>0</v>
      </c>
      <c r="AA1372">
        <v>9</v>
      </c>
      <c r="AB1372">
        <v>3</v>
      </c>
      <c r="AC1372">
        <v>0</v>
      </c>
      <c r="AD1372">
        <v>10</v>
      </c>
      <c r="AE1372">
        <v>0</v>
      </c>
      <c r="AF1372">
        <v>3</v>
      </c>
      <c r="AG1372">
        <v>2</v>
      </c>
      <c r="AH1372">
        <v>1</v>
      </c>
      <c r="AI1372" t="s">
        <v>761</v>
      </c>
      <c r="AJ1372">
        <v>35.785367000000001</v>
      </c>
      <c r="AK1372" t="s">
        <v>762</v>
      </c>
      <c r="AL1372">
        <v>-84.032493000000002</v>
      </c>
      <c r="AM1372">
        <v>25</v>
      </c>
      <c r="AN1372">
        <v>1625</v>
      </c>
      <c r="AO1372" t="s">
        <v>118</v>
      </c>
      <c r="AP1372">
        <v>-144</v>
      </c>
      <c r="AQ1372">
        <v>25</v>
      </c>
      <c r="AR1372">
        <v>640</v>
      </c>
      <c r="AZ1372">
        <v>300</v>
      </c>
      <c r="BA1372">
        <v>1</v>
      </c>
      <c r="BB1372" t="str">
        <f t="shared" si="67"/>
        <v xml:space="preserve">N162AM  </v>
      </c>
      <c r="BC1372">
        <v>1</v>
      </c>
      <c r="BE1372">
        <v>0</v>
      </c>
      <c r="BF1372">
        <v>0</v>
      </c>
      <c r="BG1372">
        <v>0</v>
      </c>
      <c r="BH1372">
        <v>1900</v>
      </c>
      <c r="BI1372">
        <v>1</v>
      </c>
      <c r="BJ1372">
        <v>1</v>
      </c>
      <c r="BK1372">
        <v>1</v>
      </c>
      <c r="BL1372">
        <v>0</v>
      </c>
      <c r="BO1372">
        <v>0</v>
      </c>
      <c r="BP1372">
        <v>0</v>
      </c>
      <c r="BW1372" t="str">
        <f>"14:50:29.460"</f>
        <v>14:50:29.460</v>
      </c>
      <c r="CJ1372">
        <v>3</v>
      </c>
      <c r="CK1372">
        <v>2</v>
      </c>
      <c r="CL1372">
        <v>0</v>
      </c>
      <c r="CM1372">
        <v>2</v>
      </c>
      <c r="CN1372">
        <v>0</v>
      </c>
      <c r="CO1372">
        <v>6</v>
      </c>
      <c r="CP1372" t="s">
        <v>119</v>
      </c>
      <c r="CQ1372">
        <v>232</v>
      </c>
      <c r="CR1372">
        <v>1</v>
      </c>
      <c r="CW1372">
        <v>15545838</v>
      </c>
      <c r="CY1372">
        <v>1</v>
      </c>
      <c r="CZ1372">
        <v>0</v>
      </c>
      <c r="DA1372">
        <v>1</v>
      </c>
      <c r="DB1372">
        <v>0</v>
      </c>
      <c r="DC1372">
        <v>0</v>
      </c>
      <c r="DD1372">
        <v>1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"12/16/2021 14:50:29.710"</f>
        <v>12/16/2021 14:50:29.710</v>
      </c>
      <c r="C1373" t="str">
        <f t="shared" si="66"/>
        <v>FFDFD3C0</v>
      </c>
      <c r="D1373" t="s">
        <v>124</v>
      </c>
      <c r="E1373">
        <v>5</v>
      </c>
      <c r="F1373">
        <v>1005</v>
      </c>
      <c r="G1373" t="s">
        <v>114</v>
      </c>
      <c r="J1373" t="s">
        <v>125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"14:50:29.453"</f>
        <v>14:50:29.453</v>
      </c>
      <c r="T1373" t="str">
        <f>"14:50:28.953"</f>
        <v>14:50:28.953</v>
      </c>
      <c r="U1373" t="str">
        <f t="shared" si="69"/>
        <v>A0F928</v>
      </c>
      <c r="V1373">
        <v>0</v>
      </c>
      <c r="W1373">
        <v>0</v>
      </c>
      <c r="X1373">
        <v>2</v>
      </c>
      <c r="Z1373">
        <v>0</v>
      </c>
      <c r="AA1373">
        <v>9</v>
      </c>
      <c r="AB1373">
        <v>3</v>
      </c>
      <c r="AC1373">
        <v>0</v>
      </c>
      <c r="AD1373">
        <v>10</v>
      </c>
      <c r="AE1373">
        <v>0</v>
      </c>
      <c r="AF1373">
        <v>3</v>
      </c>
      <c r="AG1373">
        <v>2</v>
      </c>
      <c r="AH1373">
        <v>1</v>
      </c>
      <c r="AI1373" t="s">
        <v>761</v>
      </c>
      <c r="AJ1373">
        <v>35.785367000000001</v>
      </c>
      <c r="AK1373" t="s">
        <v>762</v>
      </c>
      <c r="AL1373">
        <v>-84.032493000000002</v>
      </c>
      <c r="AM1373">
        <v>25</v>
      </c>
      <c r="AN1373">
        <v>1625</v>
      </c>
      <c r="AO1373" t="s">
        <v>118</v>
      </c>
      <c r="AP1373">
        <v>-144</v>
      </c>
      <c r="AQ1373">
        <v>25</v>
      </c>
      <c r="AR1373">
        <v>640</v>
      </c>
      <c r="AZ1373">
        <v>300</v>
      </c>
      <c r="BA1373">
        <v>1</v>
      </c>
      <c r="BB1373" t="str">
        <f t="shared" si="67"/>
        <v xml:space="preserve">N162AM  </v>
      </c>
      <c r="BC1373">
        <v>1</v>
      </c>
      <c r="BE1373">
        <v>0</v>
      </c>
      <c r="BF1373">
        <v>0</v>
      </c>
      <c r="BG1373">
        <v>0</v>
      </c>
      <c r="BH1373">
        <v>1900</v>
      </c>
      <c r="BI1373">
        <v>1</v>
      </c>
      <c r="BJ1373">
        <v>1</v>
      </c>
      <c r="BK1373">
        <v>1</v>
      </c>
      <c r="BL1373">
        <v>0</v>
      </c>
      <c r="BO1373">
        <v>0</v>
      </c>
      <c r="BP1373">
        <v>0</v>
      </c>
      <c r="BW1373" t="str">
        <f>"14:50:29.460"</f>
        <v>14:50:29.460</v>
      </c>
      <c r="CJ1373">
        <v>3</v>
      </c>
      <c r="CK1373">
        <v>2</v>
      </c>
      <c r="CL1373">
        <v>0</v>
      </c>
      <c r="CM1373">
        <v>2</v>
      </c>
      <c r="CN1373">
        <v>0</v>
      </c>
      <c r="CO1373">
        <v>6</v>
      </c>
      <c r="CP1373" t="s">
        <v>119</v>
      </c>
      <c r="CQ1373">
        <v>232</v>
      </c>
      <c r="CR1373">
        <v>1</v>
      </c>
      <c r="CW1373">
        <v>15545838</v>
      </c>
      <c r="CY1373">
        <v>1</v>
      </c>
      <c r="CZ1373">
        <v>0</v>
      </c>
      <c r="DA1373">
        <v>1</v>
      </c>
      <c r="DB1373">
        <v>0</v>
      </c>
      <c r="DC1373">
        <v>0</v>
      </c>
      <c r="DD1373">
        <v>1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"12/16/2021 14:50:30.601"</f>
        <v>12/16/2021 14:50:30.601</v>
      </c>
      <c r="C1374" t="str">
        <f t="shared" si="66"/>
        <v>FFDFD3C0</v>
      </c>
      <c r="D1374" t="s">
        <v>133</v>
      </c>
      <c r="E1374">
        <v>44</v>
      </c>
      <c r="H1374">
        <v>131</v>
      </c>
      <c r="I1374" t="s">
        <v>134</v>
      </c>
      <c r="J1374" t="s">
        <v>135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"14:50:30.336"</f>
        <v>14:50:30.336</v>
      </c>
      <c r="T1374" t="str">
        <f>"14:50:29.936"</f>
        <v>14:50:29.936</v>
      </c>
      <c r="U1374" t="str">
        <f t="shared" si="69"/>
        <v>A0F928</v>
      </c>
      <c r="V1374">
        <v>0</v>
      </c>
      <c r="W1374">
        <v>0</v>
      </c>
      <c r="X1374">
        <v>2</v>
      </c>
      <c r="Z1374">
        <v>0</v>
      </c>
      <c r="AA1374">
        <v>9</v>
      </c>
      <c r="AB1374">
        <v>3</v>
      </c>
      <c r="AC1374">
        <v>0</v>
      </c>
      <c r="AD1374">
        <v>10</v>
      </c>
      <c r="AE1374">
        <v>0</v>
      </c>
      <c r="AF1374">
        <v>3</v>
      </c>
      <c r="AG1374">
        <v>2</v>
      </c>
      <c r="AH1374">
        <v>1</v>
      </c>
      <c r="AI1374" t="s">
        <v>763</v>
      </c>
      <c r="AJ1374">
        <v>35.785452999999997</v>
      </c>
      <c r="AK1374" t="s">
        <v>764</v>
      </c>
      <c r="AL1374">
        <v>-84.033135999999999</v>
      </c>
      <c r="AM1374">
        <v>25</v>
      </c>
      <c r="AN1374">
        <v>1650</v>
      </c>
      <c r="AO1374" t="s">
        <v>118</v>
      </c>
      <c r="AP1374">
        <v>-144</v>
      </c>
      <c r="AQ1374">
        <v>32</v>
      </c>
      <c r="AR1374">
        <v>576</v>
      </c>
      <c r="AZ1374">
        <v>300</v>
      </c>
      <c r="BA1374">
        <v>1</v>
      </c>
      <c r="BB1374" t="str">
        <f t="shared" si="67"/>
        <v xml:space="preserve">N162AM  </v>
      </c>
      <c r="BC1374">
        <v>1</v>
      </c>
      <c r="BE1374">
        <v>0</v>
      </c>
      <c r="BF1374">
        <v>0</v>
      </c>
      <c r="BG1374">
        <v>0</v>
      </c>
      <c r="BH1374">
        <v>1900</v>
      </c>
      <c r="BI1374">
        <v>1</v>
      </c>
      <c r="BJ1374">
        <v>1</v>
      </c>
      <c r="BK1374">
        <v>1</v>
      </c>
      <c r="BL1374">
        <v>0</v>
      </c>
      <c r="BO1374">
        <v>0</v>
      </c>
      <c r="BP1374">
        <v>0</v>
      </c>
      <c r="BW1374" t="str">
        <f>"14:50:30.342"</f>
        <v>14:50:30.342</v>
      </c>
      <c r="CJ1374">
        <v>3</v>
      </c>
      <c r="CK1374">
        <v>2</v>
      </c>
      <c r="CL1374">
        <v>0</v>
      </c>
      <c r="CM1374">
        <v>2</v>
      </c>
      <c r="CN1374">
        <v>0</v>
      </c>
      <c r="CO1374">
        <v>6</v>
      </c>
      <c r="CP1374" t="s">
        <v>119</v>
      </c>
      <c r="CQ1374">
        <v>232</v>
      </c>
      <c r="CR1374">
        <v>2</v>
      </c>
      <c r="CW1374">
        <v>6747912</v>
      </c>
      <c r="CY1374">
        <v>1</v>
      </c>
      <c r="CZ1374">
        <v>0</v>
      </c>
      <c r="DA1374">
        <v>0</v>
      </c>
      <c r="DB1374">
        <v>0</v>
      </c>
      <c r="DC1374">
        <v>0</v>
      </c>
      <c r="DD1374">
        <v>1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"12/16/2021 14:50:30.601"</f>
        <v>12/16/2021 14:50:30.601</v>
      </c>
      <c r="C1375" t="str">
        <f t="shared" si="66"/>
        <v>FFDFD3C0</v>
      </c>
      <c r="D1375" t="s">
        <v>113</v>
      </c>
      <c r="E1375">
        <v>8</v>
      </c>
      <c r="H1375">
        <v>176</v>
      </c>
      <c r="I1375" t="s">
        <v>114</v>
      </c>
      <c r="J1375" t="s">
        <v>115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"14:50:30.336"</f>
        <v>14:50:30.336</v>
      </c>
      <c r="T1375" t="str">
        <f>"14:50:29.936"</f>
        <v>14:50:29.936</v>
      </c>
      <c r="U1375" t="str">
        <f t="shared" si="69"/>
        <v>A0F928</v>
      </c>
      <c r="V1375">
        <v>0</v>
      </c>
      <c r="W1375">
        <v>0</v>
      </c>
      <c r="X1375">
        <v>2</v>
      </c>
      <c r="Z1375">
        <v>0</v>
      </c>
      <c r="AA1375">
        <v>9</v>
      </c>
      <c r="AB1375">
        <v>3</v>
      </c>
      <c r="AC1375">
        <v>0</v>
      </c>
      <c r="AD1375">
        <v>10</v>
      </c>
      <c r="AE1375">
        <v>0</v>
      </c>
      <c r="AF1375">
        <v>3</v>
      </c>
      <c r="AG1375">
        <v>2</v>
      </c>
      <c r="AH1375">
        <v>1</v>
      </c>
      <c r="AI1375" t="s">
        <v>763</v>
      </c>
      <c r="AJ1375">
        <v>35.785452999999997</v>
      </c>
      <c r="AK1375" t="s">
        <v>764</v>
      </c>
      <c r="AL1375">
        <v>-84.033135999999999</v>
      </c>
      <c r="AM1375">
        <v>25</v>
      </c>
      <c r="AN1375">
        <v>1650</v>
      </c>
      <c r="AO1375" t="s">
        <v>118</v>
      </c>
      <c r="AP1375">
        <v>-144</v>
      </c>
      <c r="AQ1375">
        <v>32</v>
      </c>
      <c r="AR1375">
        <v>576</v>
      </c>
      <c r="AZ1375">
        <v>300</v>
      </c>
      <c r="BA1375">
        <v>1</v>
      </c>
      <c r="BB1375" t="str">
        <f t="shared" si="67"/>
        <v xml:space="preserve">N162AM  </v>
      </c>
      <c r="BC1375">
        <v>1</v>
      </c>
      <c r="BE1375">
        <v>0</v>
      </c>
      <c r="BF1375">
        <v>0</v>
      </c>
      <c r="BG1375">
        <v>0</v>
      </c>
      <c r="BH1375">
        <v>1900</v>
      </c>
      <c r="BI1375">
        <v>1</v>
      </c>
      <c r="BJ1375">
        <v>1</v>
      </c>
      <c r="BK1375">
        <v>1</v>
      </c>
      <c r="BL1375">
        <v>0</v>
      </c>
      <c r="BO1375">
        <v>0</v>
      </c>
      <c r="BP1375">
        <v>0</v>
      </c>
      <c r="BW1375" t="str">
        <f>"14:50:30.342"</f>
        <v>14:50:30.342</v>
      </c>
      <c r="CJ1375">
        <v>3</v>
      </c>
      <c r="CK1375">
        <v>2</v>
      </c>
      <c r="CL1375">
        <v>0</v>
      </c>
      <c r="CM1375">
        <v>2</v>
      </c>
      <c r="CN1375">
        <v>0</v>
      </c>
      <c r="CO1375">
        <v>6</v>
      </c>
      <c r="CP1375" t="s">
        <v>119</v>
      </c>
      <c r="CQ1375">
        <v>232</v>
      </c>
      <c r="CR1375">
        <v>2</v>
      </c>
      <c r="CW1375">
        <v>6747912</v>
      </c>
      <c r="CY1375">
        <v>1</v>
      </c>
      <c r="CZ1375">
        <v>0</v>
      </c>
      <c r="DA1375">
        <v>1</v>
      </c>
      <c r="DB1375">
        <v>0</v>
      </c>
      <c r="DC1375">
        <v>0</v>
      </c>
      <c r="DD1375">
        <v>1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"12/16/2021 14:50:30.601"</f>
        <v>12/16/2021 14:50:30.601</v>
      </c>
      <c r="C1376" t="str">
        <f t="shared" si="66"/>
        <v>FFDFD3C0</v>
      </c>
      <c r="D1376" t="s">
        <v>124</v>
      </c>
      <c r="E1376">
        <v>10</v>
      </c>
      <c r="F1376">
        <v>1010</v>
      </c>
      <c r="G1376" t="s">
        <v>130</v>
      </c>
      <c r="J1376" t="s">
        <v>125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"14:50:30.336"</f>
        <v>14:50:30.336</v>
      </c>
      <c r="T1376" t="str">
        <f>"14:50:29.936"</f>
        <v>14:50:29.936</v>
      </c>
      <c r="U1376" t="str">
        <f t="shared" si="69"/>
        <v>A0F928</v>
      </c>
      <c r="V1376">
        <v>0</v>
      </c>
      <c r="W1376">
        <v>0</v>
      </c>
      <c r="X1376">
        <v>2</v>
      </c>
      <c r="Z1376">
        <v>0</v>
      </c>
      <c r="AA1376">
        <v>9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2</v>
      </c>
      <c r="AH1376">
        <v>1</v>
      </c>
      <c r="AI1376" t="s">
        <v>763</v>
      </c>
      <c r="AJ1376">
        <v>35.785452999999997</v>
      </c>
      <c r="AK1376" t="s">
        <v>764</v>
      </c>
      <c r="AL1376">
        <v>-84.033135999999999</v>
      </c>
      <c r="AM1376">
        <v>25</v>
      </c>
      <c r="AN1376">
        <v>1650</v>
      </c>
      <c r="AO1376" t="s">
        <v>118</v>
      </c>
      <c r="AP1376">
        <v>-144</v>
      </c>
      <c r="AQ1376">
        <v>32</v>
      </c>
      <c r="AR1376">
        <v>576</v>
      </c>
      <c r="AZ1376">
        <v>300</v>
      </c>
      <c r="BA1376">
        <v>1</v>
      </c>
      <c r="BB1376" t="str">
        <f t="shared" si="67"/>
        <v xml:space="preserve">N162AM  </v>
      </c>
      <c r="BC1376">
        <v>1</v>
      </c>
      <c r="BE1376">
        <v>0</v>
      </c>
      <c r="BF1376">
        <v>0</v>
      </c>
      <c r="BG1376">
        <v>0</v>
      </c>
      <c r="BH1376">
        <v>1900</v>
      </c>
      <c r="BI1376">
        <v>1</v>
      </c>
      <c r="BJ1376">
        <v>1</v>
      </c>
      <c r="BK1376">
        <v>1</v>
      </c>
      <c r="BL1376">
        <v>0</v>
      </c>
      <c r="BO1376">
        <v>0</v>
      </c>
      <c r="BP1376">
        <v>0</v>
      </c>
      <c r="BW1376" t="str">
        <f>"14:50:30.342"</f>
        <v>14:50:30.342</v>
      </c>
      <c r="CJ1376">
        <v>3</v>
      </c>
      <c r="CK1376">
        <v>2</v>
      </c>
      <c r="CL1376">
        <v>0</v>
      </c>
      <c r="CM1376">
        <v>2</v>
      </c>
      <c r="CN1376">
        <v>0</v>
      </c>
      <c r="CO1376">
        <v>6</v>
      </c>
      <c r="CP1376" t="s">
        <v>119</v>
      </c>
      <c r="CQ1376">
        <v>232</v>
      </c>
      <c r="CR1376">
        <v>2</v>
      </c>
      <c r="CW1376">
        <v>6747912</v>
      </c>
      <c r="CY1376">
        <v>1</v>
      </c>
      <c r="CZ1376">
        <v>0</v>
      </c>
      <c r="DA1376">
        <v>1</v>
      </c>
      <c r="DB1376">
        <v>0</v>
      </c>
      <c r="DC1376">
        <v>0</v>
      </c>
      <c r="DD1376">
        <v>1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"12/16/2021 14:50:30.601"</f>
        <v>12/16/2021 14:50:30.601</v>
      </c>
      <c r="C1377" t="str">
        <f t="shared" si="66"/>
        <v>FFDFD3C0</v>
      </c>
      <c r="D1377" t="s">
        <v>124</v>
      </c>
      <c r="E1377">
        <v>5</v>
      </c>
      <c r="F1377">
        <v>1005</v>
      </c>
      <c r="G1377" t="s">
        <v>114</v>
      </c>
      <c r="J1377" t="s">
        <v>125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"14:50:30.336"</f>
        <v>14:50:30.336</v>
      </c>
      <c r="T1377" t="str">
        <f>"14:50:29.936"</f>
        <v>14:50:29.936</v>
      </c>
      <c r="U1377" t="str">
        <f t="shared" si="69"/>
        <v>A0F928</v>
      </c>
      <c r="V1377">
        <v>0</v>
      </c>
      <c r="W1377">
        <v>0</v>
      </c>
      <c r="X1377">
        <v>2</v>
      </c>
      <c r="Z1377">
        <v>0</v>
      </c>
      <c r="AA1377">
        <v>9</v>
      </c>
      <c r="AB1377">
        <v>3</v>
      </c>
      <c r="AC1377">
        <v>0</v>
      </c>
      <c r="AD1377">
        <v>10</v>
      </c>
      <c r="AE1377">
        <v>0</v>
      </c>
      <c r="AF1377">
        <v>3</v>
      </c>
      <c r="AG1377">
        <v>2</v>
      </c>
      <c r="AH1377">
        <v>1</v>
      </c>
      <c r="AI1377" t="s">
        <v>763</v>
      </c>
      <c r="AJ1377">
        <v>35.785452999999997</v>
      </c>
      <c r="AK1377" t="s">
        <v>764</v>
      </c>
      <c r="AL1377">
        <v>-84.033135999999999</v>
      </c>
      <c r="AM1377">
        <v>25</v>
      </c>
      <c r="AN1377">
        <v>1650</v>
      </c>
      <c r="AO1377" t="s">
        <v>118</v>
      </c>
      <c r="AP1377">
        <v>-144</v>
      </c>
      <c r="AQ1377">
        <v>32</v>
      </c>
      <c r="AR1377">
        <v>576</v>
      </c>
      <c r="AZ1377">
        <v>300</v>
      </c>
      <c r="BA1377">
        <v>1</v>
      </c>
      <c r="BB1377" t="str">
        <f t="shared" si="67"/>
        <v xml:space="preserve">N162AM  </v>
      </c>
      <c r="BC1377">
        <v>1</v>
      </c>
      <c r="BE1377">
        <v>0</v>
      </c>
      <c r="BF1377">
        <v>0</v>
      </c>
      <c r="BG1377">
        <v>0</v>
      </c>
      <c r="BH1377">
        <v>1900</v>
      </c>
      <c r="BI1377">
        <v>1</v>
      </c>
      <c r="BJ1377">
        <v>1</v>
      </c>
      <c r="BK1377">
        <v>1</v>
      </c>
      <c r="BL1377">
        <v>0</v>
      </c>
      <c r="BO1377">
        <v>0</v>
      </c>
      <c r="BP1377">
        <v>0</v>
      </c>
      <c r="BW1377" t="str">
        <f>"14:50:30.342"</f>
        <v>14:50:30.342</v>
      </c>
      <c r="CJ1377">
        <v>3</v>
      </c>
      <c r="CK1377">
        <v>2</v>
      </c>
      <c r="CL1377">
        <v>0</v>
      </c>
      <c r="CM1377">
        <v>2</v>
      </c>
      <c r="CN1377">
        <v>0</v>
      </c>
      <c r="CO1377">
        <v>6</v>
      </c>
      <c r="CP1377" t="s">
        <v>119</v>
      </c>
      <c r="CQ1377">
        <v>232</v>
      </c>
      <c r="CR1377">
        <v>2</v>
      </c>
      <c r="CW1377">
        <v>6747912</v>
      </c>
      <c r="CY1377">
        <v>1</v>
      </c>
      <c r="CZ1377">
        <v>0</v>
      </c>
      <c r="DA1377">
        <v>1</v>
      </c>
      <c r="DB1377">
        <v>0</v>
      </c>
      <c r="DC1377">
        <v>0</v>
      </c>
      <c r="DD1377">
        <v>1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"12/16/2021 14:50:31.460"</f>
        <v>12/16/2021 14:50:31.460</v>
      </c>
      <c r="C1378" t="str">
        <f t="shared" si="66"/>
        <v>FFDFD3C0</v>
      </c>
      <c r="D1378" t="s">
        <v>124</v>
      </c>
      <c r="E1378">
        <v>5</v>
      </c>
      <c r="F1378">
        <v>1005</v>
      </c>
      <c r="G1378" t="s">
        <v>114</v>
      </c>
      <c r="J1378" t="s">
        <v>125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"14:50:31.242"</f>
        <v>14:50:31.242</v>
      </c>
      <c r="T1378" t="str">
        <f>"14:50:30.842"</f>
        <v>14:50:30.842</v>
      </c>
      <c r="U1378" t="str">
        <f t="shared" si="69"/>
        <v>A0F928</v>
      </c>
      <c r="V1378">
        <v>0</v>
      </c>
      <c r="W1378">
        <v>0</v>
      </c>
      <c r="X1378">
        <v>2</v>
      </c>
      <c r="Z1378">
        <v>0</v>
      </c>
      <c r="AA1378">
        <v>9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2</v>
      </c>
      <c r="AH1378">
        <v>1</v>
      </c>
      <c r="AI1378" t="s">
        <v>765</v>
      </c>
      <c r="AJ1378">
        <v>35.785625000000003</v>
      </c>
      <c r="AK1378" t="s">
        <v>766</v>
      </c>
      <c r="AL1378">
        <v>-84.033908999999994</v>
      </c>
      <c r="AM1378">
        <v>25</v>
      </c>
      <c r="AN1378">
        <v>1650</v>
      </c>
      <c r="AO1378" t="s">
        <v>118</v>
      </c>
      <c r="AP1378">
        <v>-143</v>
      </c>
      <c r="AQ1378">
        <v>37</v>
      </c>
      <c r="AR1378">
        <v>576</v>
      </c>
      <c r="AZ1378">
        <v>300</v>
      </c>
      <c r="BA1378">
        <v>1</v>
      </c>
      <c r="BB1378" t="str">
        <f t="shared" si="67"/>
        <v xml:space="preserve">N162AM  </v>
      </c>
      <c r="BC1378">
        <v>1</v>
      </c>
      <c r="BE1378">
        <v>0</v>
      </c>
      <c r="BF1378">
        <v>0</v>
      </c>
      <c r="BG1378">
        <v>0</v>
      </c>
      <c r="BH1378">
        <v>1925</v>
      </c>
      <c r="BI1378">
        <v>1</v>
      </c>
      <c r="BJ1378">
        <v>1</v>
      </c>
      <c r="BK1378">
        <v>1</v>
      </c>
      <c r="BL1378">
        <v>0</v>
      </c>
      <c r="BO1378">
        <v>0</v>
      </c>
      <c r="BP1378">
        <v>0</v>
      </c>
      <c r="BW1378" t="str">
        <f>"14:50:31.249"</f>
        <v>14:50:31.249</v>
      </c>
      <c r="CJ1378">
        <v>3</v>
      </c>
      <c r="CK1378">
        <v>2</v>
      </c>
      <c r="CL1378">
        <v>0</v>
      </c>
      <c r="CM1378">
        <v>2</v>
      </c>
      <c r="CN1378">
        <v>0</v>
      </c>
      <c r="CO1378">
        <v>6</v>
      </c>
      <c r="CP1378" t="s">
        <v>119</v>
      </c>
      <c r="CQ1378">
        <v>232</v>
      </c>
      <c r="CR1378">
        <v>1</v>
      </c>
      <c r="CW1378">
        <v>15548477</v>
      </c>
      <c r="CY1378">
        <v>1</v>
      </c>
      <c r="CZ1378">
        <v>0</v>
      </c>
      <c r="DA1378">
        <v>0</v>
      </c>
      <c r="DB1378">
        <v>0</v>
      </c>
      <c r="DC1378">
        <v>0</v>
      </c>
      <c r="DD1378">
        <v>1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"12/16/2021 14:50:31.523"</f>
        <v>12/16/2021 14:50:31.523</v>
      </c>
      <c r="C1379" t="str">
        <f t="shared" si="66"/>
        <v>FFDFD3C0</v>
      </c>
      <c r="D1379" t="s">
        <v>133</v>
      </c>
      <c r="E1379">
        <v>44</v>
      </c>
      <c r="H1379">
        <v>131</v>
      </c>
      <c r="I1379" t="s">
        <v>134</v>
      </c>
      <c r="J1379" t="s">
        <v>135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"14:50:31.242"</f>
        <v>14:50:31.242</v>
      </c>
      <c r="T1379" t="str">
        <f>"14:50:30.842"</f>
        <v>14:50:30.842</v>
      </c>
      <c r="U1379" t="str">
        <f t="shared" si="69"/>
        <v>A0F928</v>
      </c>
      <c r="V1379">
        <v>0</v>
      </c>
      <c r="W1379">
        <v>0</v>
      </c>
      <c r="X1379">
        <v>2</v>
      </c>
      <c r="Z1379">
        <v>0</v>
      </c>
      <c r="AA1379">
        <v>9</v>
      </c>
      <c r="AB1379">
        <v>3</v>
      </c>
      <c r="AC1379">
        <v>0</v>
      </c>
      <c r="AD1379">
        <v>10</v>
      </c>
      <c r="AE1379">
        <v>0</v>
      </c>
      <c r="AF1379">
        <v>3</v>
      </c>
      <c r="AG1379">
        <v>2</v>
      </c>
      <c r="AH1379">
        <v>1</v>
      </c>
      <c r="AI1379" t="s">
        <v>765</v>
      </c>
      <c r="AJ1379">
        <v>35.785625000000003</v>
      </c>
      <c r="AK1379" t="s">
        <v>766</v>
      </c>
      <c r="AL1379">
        <v>-84.033908999999994</v>
      </c>
      <c r="AM1379">
        <v>25</v>
      </c>
      <c r="AN1379">
        <v>1650</v>
      </c>
      <c r="AO1379" t="s">
        <v>118</v>
      </c>
      <c r="AP1379">
        <v>-143</v>
      </c>
      <c r="AQ1379">
        <v>37</v>
      </c>
      <c r="AR1379">
        <v>576</v>
      </c>
      <c r="AZ1379">
        <v>300</v>
      </c>
      <c r="BA1379">
        <v>1</v>
      </c>
      <c r="BB1379" t="str">
        <f t="shared" si="67"/>
        <v xml:space="preserve">N162AM  </v>
      </c>
      <c r="BC1379">
        <v>1</v>
      </c>
      <c r="BE1379">
        <v>0</v>
      </c>
      <c r="BF1379">
        <v>0</v>
      </c>
      <c r="BG1379">
        <v>0</v>
      </c>
      <c r="BH1379">
        <v>1925</v>
      </c>
      <c r="BI1379">
        <v>1</v>
      </c>
      <c r="BJ1379">
        <v>1</v>
      </c>
      <c r="BK1379">
        <v>1</v>
      </c>
      <c r="BL1379">
        <v>0</v>
      </c>
      <c r="BO1379">
        <v>0</v>
      </c>
      <c r="BP1379">
        <v>0</v>
      </c>
      <c r="BW1379" t="str">
        <f>"14:50:31.249"</f>
        <v>14:50:31.249</v>
      </c>
      <c r="CJ1379">
        <v>3</v>
      </c>
      <c r="CK1379">
        <v>2</v>
      </c>
      <c r="CL1379">
        <v>0</v>
      </c>
      <c r="CM1379">
        <v>2</v>
      </c>
      <c r="CN1379">
        <v>0</v>
      </c>
      <c r="CO1379">
        <v>6</v>
      </c>
      <c r="CP1379" t="s">
        <v>119</v>
      </c>
      <c r="CQ1379">
        <v>232</v>
      </c>
      <c r="CR1379">
        <v>1</v>
      </c>
      <c r="CW1379">
        <v>15548477</v>
      </c>
      <c r="CY1379">
        <v>1</v>
      </c>
      <c r="CZ1379">
        <v>0</v>
      </c>
      <c r="DA1379">
        <v>1</v>
      </c>
      <c r="DB1379">
        <v>0</v>
      </c>
      <c r="DC1379">
        <v>0</v>
      </c>
      <c r="DD1379">
        <v>1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"12/16/2021 14:50:31.523"</f>
        <v>12/16/2021 14:50:31.523</v>
      </c>
      <c r="C1380" t="str">
        <f t="shared" si="66"/>
        <v>FFDFD3C0</v>
      </c>
      <c r="D1380" t="s">
        <v>124</v>
      </c>
      <c r="E1380">
        <v>10</v>
      </c>
      <c r="F1380">
        <v>1010</v>
      </c>
      <c r="G1380" t="s">
        <v>130</v>
      </c>
      <c r="J1380" t="s">
        <v>125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"14:50:31.242"</f>
        <v>14:50:31.242</v>
      </c>
      <c r="T1380" t="str">
        <f>"14:50:30.842"</f>
        <v>14:50:30.842</v>
      </c>
      <c r="U1380" t="str">
        <f t="shared" si="69"/>
        <v>A0F928</v>
      </c>
      <c r="V1380">
        <v>0</v>
      </c>
      <c r="W1380">
        <v>0</v>
      </c>
      <c r="X1380">
        <v>2</v>
      </c>
      <c r="Z1380">
        <v>0</v>
      </c>
      <c r="AA1380">
        <v>9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2</v>
      </c>
      <c r="AH1380">
        <v>1</v>
      </c>
      <c r="AI1380" t="s">
        <v>765</v>
      </c>
      <c r="AJ1380">
        <v>35.785625000000003</v>
      </c>
      <c r="AK1380" t="s">
        <v>766</v>
      </c>
      <c r="AL1380">
        <v>-84.033908999999994</v>
      </c>
      <c r="AM1380">
        <v>25</v>
      </c>
      <c r="AN1380">
        <v>1650</v>
      </c>
      <c r="AO1380" t="s">
        <v>118</v>
      </c>
      <c r="AP1380">
        <v>-143</v>
      </c>
      <c r="AQ1380">
        <v>37</v>
      </c>
      <c r="AR1380">
        <v>576</v>
      </c>
      <c r="AZ1380">
        <v>300</v>
      </c>
      <c r="BA1380">
        <v>1</v>
      </c>
      <c r="BB1380" t="str">
        <f t="shared" si="67"/>
        <v xml:space="preserve">N162AM  </v>
      </c>
      <c r="BC1380">
        <v>1</v>
      </c>
      <c r="BE1380">
        <v>0</v>
      </c>
      <c r="BF1380">
        <v>0</v>
      </c>
      <c r="BG1380">
        <v>0</v>
      </c>
      <c r="BH1380">
        <v>1925</v>
      </c>
      <c r="BI1380">
        <v>1</v>
      </c>
      <c r="BJ1380">
        <v>1</v>
      </c>
      <c r="BK1380">
        <v>1</v>
      </c>
      <c r="BL1380">
        <v>0</v>
      </c>
      <c r="BO1380">
        <v>0</v>
      </c>
      <c r="BP1380">
        <v>0</v>
      </c>
      <c r="BW1380" t="str">
        <f>"14:50:31.249"</f>
        <v>14:50:31.249</v>
      </c>
      <c r="CJ1380">
        <v>3</v>
      </c>
      <c r="CK1380">
        <v>2</v>
      </c>
      <c r="CL1380">
        <v>0</v>
      </c>
      <c r="CM1380">
        <v>2</v>
      </c>
      <c r="CN1380">
        <v>0</v>
      </c>
      <c r="CO1380">
        <v>6</v>
      </c>
      <c r="CP1380" t="s">
        <v>119</v>
      </c>
      <c r="CQ1380">
        <v>232</v>
      </c>
      <c r="CR1380">
        <v>1</v>
      </c>
      <c r="CW1380">
        <v>15548477</v>
      </c>
      <c r="CY1380">
        <v>1</v>
      </c>
      <c r="CZ1380">
        <v>0</v>
      </c>
      <c r="DA1380">
        <v>1</v>
      </c>
      <c r="DB1380">
        <v>0</v>
      </c>
      <c r="DC1380">
        <v>0</v>
      </c>
      <c r="DD1380">
        <v>1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"12/16/2021 14:50:31.523"</f>
        <v>12/16/2021 14:50:31.523</v>
      </c>
      <c r="C1381" t="str">
        <f t="shared" si="66"/>
        <v>FFDFD3C0</v>
      </c>
      <c r="D1381" t="s">
        <v>113</v>
      </c>
      <c r="E1381">
        <v>8</v>
      </c>
      <c r="H1381">
        <v>176</v>
      </c>
      <c r="I1381" t="s">
        <v>114</v>
      </c>
      <c r="J1381" t="s">
        <v>115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"14:50:31.242"</f>
        <v>14:50:31.242</v>
      </c>
      <c r="T1381" t="str">
        <f>"14:50:30.842"</f>
        <v>14:50:30.842</v>
      </c>
      <c r="U1381" t="str">
        <f t="shared" si="69"/>
        <v>A0F928</v>
      </c>
      <c r="V1381">
        <v>0</v>
      </c>
      <c r="W1381">
        <v>0</v>
      </c>
      <c r="X1381">
        <v>2</v>
      </c>
      <c r="Z1381">
        <v>0</v>
      </c>
      <c r="AA1381">
        <v>9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2</v>
      </c>
      <c r="AH1381">
        <v>1</v>
      </c>
      <c r="AI1381" t="s">
        <v>765</v>
      </c>
      <c r="AJ1381">
        <v>35.785625000000003</v>
      </c>
      <c r="AK1381" t="s">
        <v>766</v>
      </c>
      <c r="AL1381">
        <v>-84.033908999999994</v>
      </c>
      <c r="AM1381">
        <v>25</v>
      </c>
      <c r="AN1381">
        <v>1650</v>
      </c>
      <c r="AO1381" t="s">
        <v>118</v>
      </c>
      <c r="AP1381">
        <v>-143</v>
      </c>
      <c r="AQ1381">
        <v>37</v>
      </c>
      <c r="AR1381">
        <v>576</v>
      </c>
      <c r="AZ1381">
        <v>300</v>
      </c>
      <c r="BA1381">
        <v>1</v>
      </c>
      <c r="BB1381" t="str">
        <f t="shared" si="67"/>
        <v xml:space="preserve">N162AM  </v>
      </c>
      <c r="BC1381">
        <v>1</v>
      </c>
      <c r="BE1381">
        <v>0</v>
      </c>
      <c r="BF1381">
        <v>0</v>
      </c>
      <c r="BG1381">
        <v>0</v>
      </c>
      <c r="BH1381">
        <v>1925</v>
      </c>
      <c r="BI1381">
        <v>1</v>
      </c>
      <c r="BJ1381">
        <v>1</v>
      </c>
      <c r="BK1381">
        <v>1</v>
      </c>
      <c r="BL1381">
        <v>0</v>
      </c>
      <c r="BO1381">
        <v>0</v>
      </c>
      <c r="BP1381">
        <v>0</v>
      </c>
      <c r="BW1381" t="str">
        <f>"14:50:31.249"</f>
        <v>14:50:31.249</v>
      </c>
      <c r="CJ1381">
        <v>3</v>
      </c>
      <c r="CK1381">
        <v>2</v>
      </c>
      <c r="CL1381">
        <v>0</v>
      </c>
      <c r="CM1381">
        <v>2</v>
      </c>
      <c r="CN1381">
        <v>0</v>
      </c>
      <c r="CO1381">
        <v>6</v>
      </c>
      <c r="CP1381" t="s">
        <v>119</v>
      </c>
      <c r="CQ1381">
        <v>232</v>
      </c>
      <c r="CR1381">
        <v>1</v>
      </c>
      <c r="CW1381">
        <v>15548477</v>
      </c>
      <c r="CY1381">
        <v>1</v>
      </c>
      <c r="CZ1381">
        <v>0</v>
      </c>
      <c r="DA1381">
        <v>1</v>
      </c>
      <c r="DB1381">
        <v>0</v>
      </c>
      <c r="DC1381">
        <v>0</v>
      </c>
      <c r="DD1381">
        <v>1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"12/16/2021 14:50:32.367"</f>
        <v>12/16/2021 14:50:32.367</v>
      </c>
      <c r="C1382" t="str">
        <f t="shared" si="66"/>
        <v>FFDFD3C0</v>
      </c>
      <c r="D1382" t="s">
        <v>133</v>
      </c>
      <c r="E1382">
        <v>44</v>
      </c>
      <c r="H1382">
        <v>131</v>
      </c>
      <c r="I1382" t="s">
        <v>134</v>
      </c>
      <c r="J1382" t="s">
        <v>135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"14:50:32.156"</f>
        <v>14:50:32.156</v>
      </c>
      <c r="T1382" t="str">
        <f>"14:50:31.756"</f>
        <v>14:50:31.756</v>
      </c>
      <c r="U1382" t="str">
        <f t="shared" si="69"/>
        <v>A0F928</v>
      </c>
      <c r="V1382">
        <v>0</v>
      </c>
      <c r="W1382">
        <v>0</v>
      </c>
      <c r="X1382">
        <v>2</v>
      </c>
      <c r="Z1382">
        <v>0</v>
      </c>
      <c r="AA1382">
        <v>9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2</v>
      </c>
      <c r="AH1382">
        <v>1</v>
      </c>
      <c r="AI1382" t="s">
        <v>767</v>
      </c>
      <c r="AJ1382">
        <v>35.785860999999997</v>
      </c>
      <c r="AK1382" t="s">
        <v>768</v>
      </c>
      <c r="AL1382">
        <v>-84.034660000000002</v>
      </c>
      <c r="AM1382">
        <v>25</v>
      </c>
      <c r="AN1382">
        <v>1650</v>
      </c>
      <c r="AO1382" t="s">
        <v>118</v>
      </c>
      <c r="AP1382">
        <v>-143</v>
      </c>
      <c r="AQ1382">
        <v>45</v>
      </c>
      <c r="AR1382">
        <v>512</v>
      </c>
      <c r="AZ1382">
        <v>300</v>
      </c>
      <c r="BA1382">
        <v>1</v>
      </c>
      <c r="BB1382" t="str">
        <f t="shared" si="67"/>
        <v xml:space="preserve">N162AM  </v>
      </c>
      <c r="BC1382">
        <v>1</v>
      </c>
      <c r="BE1382">
        <v>0</v>
      </c>
      <c r="BF1382">
        <v>0</v>
      </c>
      <c r="BG1382">
        <v>0</v>
      </c>
      <c r="BH1382">
        <v>1925</v>
      </c>
      <c r="BI1382">
        <v>1</v>
      </c>
      <c r="BJ1382">
        <v>1</v>
      </c>
      <c r="BK1382">
        <v>1</v>
      </c>
      <c r="BL1382">
        <v>0</v>
      </c>
      <c r="BO1382">
        <v>0</v>
      </c>
      <c r="BP1382">
        <v>0</v>
      </c>
      <c r="BW1382" t="str">
        <f>"14:50:32.160"</f>
        <v>14:50:32.160</v>
      </c>
      <c r="CJ1382">
        <v>3</v>
      </c>
      <c r="CK1382">
        <v>2</v>
      </c>
      <c r="CL1382">
        <v>0</v>
      </c>
      <c r="CM1382">
        <v>2</v>
      </c>
      <c r="CN1382">
        <v>0</v>
      </c>
      <c r="CO1382">
        <v>6</v>
      </c>
      <c r="CP1382" t="s">
        <v>119</v>
      </c>
      <c r="CQ1382">
        <v>232</v>
      </c>
      <c r="CR1382">
        <v>2</v>
      </c>
      <c r="CW1382">
        <v>6750669</v>
      </c>
      <c r="CY1382">
        <v>1</v>
      </c>
      <c r="CZ1382">
        <v>0</v>
      </c>
      <c r="DA1382">
        <v>0</v>
      </c>
      <c r="DB1382">
        <v>0</v>
      </c>
      <c r="DC1382">
        <v>0</v>
      </c>
      <c r="DD1382">
        <v>1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"12/16/2021 14:50:32.367"</f>
        <v>12/16/2021 14:50:32.367</v>
      </c>
      <c r="C1383" t="str">
        <f t="shared" si="66"/>
        <v>FFDFD3C0</v>
      </c>
      <c r="D1383" t="s">
        <v>124</v>
      </c>
      <c r="E1383">
        <v>10</v>
      </c>
      <c r="F1383">
        <v>1010</v>
      </c>
      <c r="G1383" t="s">
        <v>130</v>
      </c>
      <c r="J1383" t="s">
        <v>125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"14:50:32.156"</f>
        <v>14:50:32.156</v>
      </c>
      <c r="T1383" t="str">
        <f>"14:50:31.756"</f>
        <v>14:50:31.756</v>
      </c>
      <c r="U1383" t="str">
        <f t="shared" si="69"/>
        <v>A0F928</v>
      </c>
      <c r="V1383">
        <v>0</v>
      </c>
      <c r="W1383">
        <v>0</v>
      </c>
      <c r="X1383">
        <v>2</v>
      </c>
      <c r="Z1383">
        <v>0</v>
      </c>
      <c r="AA1383">
        <v>9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2</v>
      </c>
      <c r="AH1383">
        <v>1</v>
      </c>
      <c r="AI1383" t="s">
        <v>767</v>
      </c>
      <c r="AJ1383">
        <v>35.785860999999997</v>
      </c>
      <c r="AK1383" t="s">
        <v>768</v>
      </c>
      <c r="AL1383">
        <v>-84.034660000000002</v>
      </c>
      <c r="AM1383">
        <v>25</v>
      </c>
      <c r="AN1383">
        <v>1650</v>
      </c>
      <c r="AO1383" t="s">
        <v>118</v>
      </c>
      <c r="AP1383">
        <v>-143</v>
      </c>
      <c r="AQ1383">
        <v>45</v>
      </c>
      <c r="AR1383">
        <v>512</v>
      </c>
      <c r="AZ1383">
        <v>300</v>
      </c>
      <c r="BA1383">
        <v>1</v>
      </c>
      <c r="BB1383" t="str">
        <f t="shared" si="67"/>
        <v xml:space="preserve">N162AM  </v>
      </c>
      <c r="BC1383">
        <v>1</v>
      </c>
      <c r="BE1383">
        <v>0</v>
      </c>
      <c r="BF1383">
        <v>0</v>
      </c>
      <c r="BG1383">
        <v>0</v>
      </c>
      <c r="BH1383">
        <v>1925</v>
      </c>
      <c r="BI1383">
        <v>1</v>
      </c>
      <c r="BJ1383">
        <v>1</v>
      </c>
      <c r="BK1383">
        <v>1</v>
      </c>
      <c r="BL1383">
        <v>0</v>
      </c>
      <c r="BO1383">
        <v>0</v>
      </c>
      <c r="BP1383">
        <v>0</v>
      </c>
      <c r="BW1383" t="str">
        <f>"14:50:32.160"</f>
        <v>14:50:32.160</v>
      </c>
      <c r="CJ1383">
        <v>3</v>
      </c>
      <c r="CK1383">
        <v>2</v>
      </c>
      <c r="CL1383">
        <v>0</v>
      </c>
      <c r="CM1383">
        <v>2</v>
      </c>
      <c r="CN1383">
        <v>0</v>
      </c>
      <c r="CO1383">
        <v>6</v>
      </c>
      <c r="CP1383" t="s">
        <v>119</v>
      </c>
      <c r="CQ1383">
        <v>232</v>
      </c>
      <c r="CR1383">
        <v>2</v>
      </c>
      <c r="CW1383">
        <v>6750669</v>
      </c>
      <c r="CY1383">
        <v>1</v>
      </c>
      <c r="CZ1383">
        <v>0</v>
      </c>
      <c r="DA1383">
        <v>1</v>
      </c>
      <c r="DB1383">
        <v>0</v>
      </c>
      <c r="DC1383">
        <v>0</v>
      </c>
      <c r="DD1383">
        <v>1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"12/16/2021 14:50:32.398"</f>
        <v>12/16/2021 14:50:32.398</v>
      </c>
      <c r="C1384" t="str">
        <f t="shared" si="66"/>
        <v>FFDFD3C0</v>
      </c>
      <c r="D1384" t="s">
        <v>113</v>
      </c>
      <c r="E1384">
        <v>8</v>
      </c>
      <c r="H1384">
        <v>176</v>
      </c>
      <c r="I1384" t="s">
        <v>114</v>
      </c>
      <c r="J1384" t="s">
        <v>115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"14:50:32.156"</f>
        <v>14:50:32.156</v>
      </c>
      <c r="T1384" t="str">
        <f>"14:50:31.756"</f>
        <v>14:50:31.756</v>
      </c>
      <c r="U1384" t="str">
        <f t="shared" si="69"/>
        <v>A0F928</v>
      </c>
      <c r="V1384">
        <v>0</v>
      </c>
      <c r="W1384">
        <v>0</v>
      </c>
      <c r="X1384">
        <v>2</v>
      </c>
      <c r="Z1384">
        <v>0</v>
      </c>
      <c r="AA1384">
        <v>9</v>
      </c>
      <c r="AB1384">
        <v>3</v>
      </c>
      <c r="AC1384">
        <v>0</v>
      </c>
      <c r="AD1384">
        <v>10</v>
      </c>
      <c r="AE1384">
        <v>0</v>
      </c>
      <c r="AF1384">
        <v>3</v>
      </c>
      <c r="AG1384">
        <v>2</v>
      </c>
      <c r="AH1384">
        <v>1</v>
      </c>
      <c r="AI1384" t="s">
        <v>767</v>
      </c>
      <c r="AJ1384">
        <v>35.785860999999997</v>
      </c>
      <c r="AK1384" t="s">
        <v>768</v>
      </c>
      <c r="AL1384">
        <v>-84.034660000000002</v>
      </c>
      <c r="AM1384">
        <v>25</v>
      </c>
      <c r="AN1384">
        <v>1650</v>
      </c>
      <c r="AO1384" t="s">
        <v>118</v>
      </c>
      <c r="AP1384">
        <v>-143</v>
      </c>
      <c r="AQ1384">
        <v>45</v>
      </c>
      <c r="AR1384">
        <v>512</v>
      </c>
      <c r="AZ1384">
        <v>300</v>
      </c>
      <c r="BA1384">
        <v>1</v>
      </c>
      <c r="BB1384" t="str">
        <f t="shared" si="67"/>
        <v xml:space="preserve">N162AM  </v>
      </c>
      <c r="BC1384">
        <v>1</v>
      </c>
      <c r="BE1384">
        <v>0</v>
      </c>
      <c r="BF1384">
        <v>0</v>
      </c>
      <c r="BG1384">
        <v>0</v>
      </c>
      <c r="BH1384">
        <v>1925</v>
      </c>
      <c r="BI1384">
        <v>1</v>
      </c>
      <c r="BJ1384">
        <v>1</v>
      </c>
      <c r="BK1384">
        <v>1</v>
      </c>
      <c r="BL1384">
        <v>0</v>
      </c>
      <c r="BO1384">
        <v>0</v>
      </c>
      <c r="BP1384">
        <v>0</v>
      </c>
      <c r="BW1384" t="str">
        <f>"14:50:32.160"</f>
        <v>14:50:32.160</v>
      </c>
      <c r="CJ1384">
        <v>3</v>
      </c>
      <c r="CK1384">
        <v>2</v>
      </c>
      <c r="CL1384">
        <v>0</v>
      </c>
      <c r="CM1384">
        <v>2</v>
      </c>
      <c r="CN1384">
        <v>0</v>
      </c>
      <c r="CO1384">
        <v>6</v>
      </c>
      <c r="CP1384" t="s">
        <v>119</v>
      </c>
      <c r="CQ1384">
        <v>232</v>
      </c>
      <c r="CR1384">
        <v>2</v>
      </c>
      <c r="CW1384">
        <v>6750669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1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"12/16/2021 14:50:32.398"</f>
        <v>12/16/2021 14:50:32.398</v>
      </c>
      <c r="C1385" t="str">
        <f t="shared" si="66"/>
        <v>FFDFD3C0</v>
      </c>
      <c r="D1385" t="s">
        <v>124</v>
      </c>
      <c r="E1385">
        <v>5</v>
      </c>
      <c r="F1385">
        <v>1005</v>
      </c>
      <c r="G1385" t="s">
        <v>114</v>
      </c>
      <c r="J1385" t="s">
        <v>125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"14:50:32.156"</f>
        <v>14:50:32.156</v>
      </c>
      <c r="T1385" t="str">
        <f>"14:50:31.756"</f>
        <v>14:50:31.756</v>
      </c>
      <c r="U1385" t="str">
        <f t="shared" si="69"/>
        <v>A0F928</v>
      </c>
      <c r="V1385">
        <v>0</v>
      </c>
      <c r="W1385">
        <v>0</v>
      </c>
      <c r="X1385">
        <v>2</v>
      </c>
      <c r="Z1385">
        <v>0</v>
      </c>
      <c r="AA1385">
        <v>9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2</v>
      </c>
      <c r="AH1385">
        <v>1</v>
      </c>
      <c r="AI1385" t="s">
        <v>767</v>
      </c>
      <c r="AJ1385">
        <v>35.785860999999997</v>
      </c>
      <c r="AK1385" t="s">
        <v>768</v>
      </c>
      <c r="AL1385">
        <v>-84.034660000000002</v>
      </c>
      <c r="AM1385">
        <v>25</v>
      </c>
      <c r="AN1385">
        <v>1650</v>
      </c>
      <c r="AO1385" t="s">
        <v>118</v>
      </c>
      <c r="AP1385">
        <v>-143</v>
      </c>
      <c r="AQ1385">
        <v>45</v>
      </c>
      <c r="AR1385">
        <v>512</v>
      </c>
      <c r="AZ1385">
        <v>300</v>
      </c>
      <c r="BA1385">
        <v>1</v>
      </c>
      <c r="BB1385" t="str">
        <f t="shared" si="67"/>
        <v xml:space="preserve">N162AM  </v>
      </c>
      <c r="BC1385">
        <v>1</v>
      </c>
      <c r="BE1385">
        <v>0</v>
      </c>
      <c r="BF1385">
        <v>0</v>
      </c>
      <c r="BG1385">
        <v>0</v>
      </c>
      <c r="BH1385">
        <v>1925</v>
      </c>
      <c r="BI1385">
        <v>1</v>
      </c>
      <c r="BJ1385">
        <v>1</v>
      </c>
      <c r="BK1385">
        <v>1</v>
      </c>
      <c r="BL1385">
        <v>0</v>
      </c>
      <c r="BO1385">
        <v>0</v>
      </c>
      <c r="BP1385">
        <v>0</v>
      </c>
      <c r="BW1385" t="str">
        <f>"14:50:32.160"</f>
        <v>14:50:32.160</v>
      </c>
      <c r="CJ1385">
        <v>3</v>
      </c>
      <c r="CK1385">
        <v>2</v>
      </c>
      <c r="CL1385">
        <v>0</v>
      </c>
      <c r="CM1385">
        <v>2</v>
      </c>
      <c r="CN1385">
        <v>0</v>
      </c>
      <c r="CO1385">
        <v>6</v>
      </c>
      <c r="CP1385" t="s">
        <v>119</v>
      </c>
      <c r="CQ1385">
        <v>232</v>
      </c>
      <c r="CR1385">
        <v>2</v>
      </c>
      <c r="CW1385">
        <v>6750669</v>
      </c>
      <c r="CY1385">
        <v>1</v>
      </c>
      <c r="CZ1385">
        <v>0</v>
      </c>
      <c r="DA1385">
        <v>1</v>
      </c>
      <c r="DB1385">
        <v>0</v>
      </c>
      <c r="DC1385">
        <v>0</v>
      </c>
      <c r="DD1385">
        <v>1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"12/16/2021 14:50:33.414"</f>
        <v>12/16/2021 14:50:33.414</v>
      </c>
      <c r="C1386" t="str">
        <f t="shared" si="66"/>
        <v>FFDFD3C0</v>
      </c>
      <c r="D1386" t="s">
        <v>113</v>
      </c>
      <c r="E1386">
        <v>8</v>
      </c>
      <c r="H1386">
        <v>176</v>
      </c>
      <c r="I1386" t="s">
        <v>114</v>
      </c>
      <c r="J1386" t="s">
        <v>115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"14:50:33.234"</f>
        <v>14:50:33.234</v>
      </c>
      <c r="T1386" t="str">
        <f>"14:50:32.734"</f>
        <v>14:50:32.734</v>
      </c>
      <c r="U1386" t="str">
        <f t="shared" si="69"/>
        <v>A0F928</v>
      </c>
      <c r="V1386">
        <v>0</v>
      </c>
      <c r="W1386">
        <v>0</v>
      </c>
      <c r="X1386">
        <v>2</v>
      </c>
      <c r="Z1386">
        <v>0</v>
      </c>
      <c r="AA1386">
        <v>9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2</v>
      </c>
      <c r="AH1386">
        <v>1</v>
      </c>
      <c r="AI1386" t="s">
        <v>769</v>
      </c>
      <c r="AJ1386">
        <v>35.786096999999998</v>
      </c>
      <c r="AK1386" t="s">
        <v>770</v>
      </c>
      <c r="AL1386">
        <v>-84.035454000000001</v>
      </c>
      <c r="AM1386">
        <v>25</v>
      </c>
      <c r="AN1386">
        <v>1650</v>
      </c>
      <c r="AO1386" t="s">
        <v>118</v>
      </c>
      <c r="AP1386">
        <v>-141</v>
      </c>
      <c r="AQ1386">
        <v>51</v>
      </c>
      <c r="AR1386">
        <v>448</v>
      </c>
      <c r="AZ1386">
        <v>300</v>
      </c>
      <c r="BA1386">
        <v>1</v>
      </c>
      <c r="BB1386" t="str">
        <f t="shared" si="67"/>
        <v xml:space="preserve">N162AM  </v>
      </c>
      <c r="BC1386">
        <v>1</v>
      </c>
      <c r="BE1386">
        <v>0</v>
      </c>
      <c r="BF1386">
        <v>0</v>
      </c>
      <c r="BG1386">
        <v>0</v>
      </c>
      <c r="BH1386">
        <v>1925</v>
      </c>
      <c r="BI1386">
        <v>1</v>
      </c>
      <c r="BJ1386">
        <v>1</v>
      </c>
      <c r="BK1386">
        <v>1</v>
      </c>
      <c r="BL1386">
        <v>0</v>
      </c>
      <c r="BO1386">
        <v>0</v>
      </c>
      <c r="BP1386">
        <v>0</v>
      </c>
      <c r="BW1386" t="str">
        <f>"14:50:33.242"</f>
        <v>14:50:33.242</v>
      </c>
      <c r="CJ1386">
        <v>3</v>
      </c>
      <c r="CK1386">
        <v>2</v>
      </c>
      <c r="CL1386">
        <v>0</v>
      </c>
      <c r="CM1386">
        <v>2</v>
      </c>
      <c r="CN1386">
        <v>0</v>
      </c>
      <c r="CO1386">
        <v>6</v>
      </c>
      <c r="CP1386" t="s">
        <v>119</v>
      </c>
      <c r="CQ1386">
        <v>232</v>
      </c>
      <c r="CR1386">
        <v>2</v>
      </c>
      <c r="CW1386">
        <v>6752414</v>
      </c>
      <c r="CY1386">
        <v>1</v>
      </c>
      <c r="CZ1386">
        <v>0</v>
      </c>
      <c r="DA1386">
        <v>0</v>
      </c>
      <c r="DB1386">
        <v>0</v>
      </c>
      <c r="DC1386">
        <v>0</v>
      </c>
      <c r="DD1386">
        <v>1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"12/16/2021 14:50:33.429"</f>
        <v>12/16/2021 14:50:33.429</v>
      </c>
      <c r="C1387" t="str">
        <f t="shared" si="66"/>
        <v>FFDFD3C0</v>
      </c>
      <c r="D1387" t="s">
        <v>124</v>
      </c>
      <c r="E1387">
        <v>5</v>
      </c>
      <c r="F1387">
        <v>1005</v>
      </c>
      <c r="G1387" t="s">
        <v>114</v>
      </c>
      <c r="J1387" t="s">
        <v>125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"14:50:33.234"</f>
        <v>14:50:33.234</v>
      </c>
      <c r="T1387" t="str">
        <f>"14:50:32.734"</f>
        <v>14:50:32.734</v>
      </c>
      <c r="U1387" t="str">
        <f t="shared" si="69"/>
        <v>A0F928</v>
      </c>
      <c r="V1387">
        <v>0</v>
      </c>
      <c r="W1387">
        <v>0</v>
      </c>
      <c r="X1387">
        <v>2</v>
      </c>
      <c r="Z1387">
        <v>0</v>
      </c>
      <c r="AA1387">
        <v>9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2</v>
      </c>
      <c r="AH1387">
        <v>1</v>
      </c>
      <c r="AI1387" t="s">
        <v>769</v>
      </c>
      <c r="AJ1387">
        <v>35.786096999999998</v>
      </c>
      <c r="AK1387" t="s">
        <v>770</v>
      </c>
      <c r="AL1387">
        <v>-84.035454000000001</v>
      </c>
      <c r="AM1387">
        <v>25</v>
      </c>
      <c r="AN1387">
        <v>1650</v>
      </c>
      <c r="AO1387" t="s">
        <v>118</v>
      </c>
      <c r="AP1387">
        <v>-141</v>
      </c>
      <c r="AQ1387">
        <v>51</v>
      </c>
      <c r="AR1387">
        <v>448</v>
      </c>
      <c r="AZ1387">
        <v>300</v>
      </c>
      <c r="BA1387">
        <v>1</v>
      </c>
      <c r="BB1387" t="str">
        <f t="shared" si="67"/>
        <v xml:space="preserve">N162AM  </v>
      </c>
      <c r="BC1387">
        <v>1</v>
      </c>
      <c r="BE1387">
        <v>0</v>
      </c>
      <c r="BF1387">
        <v>0</v>
      </c>
      <c r="BG1387">
        <v>0</v>
      </c>
      <c r="BH1387">
        <v>1925</v>
      </c>
      <c r="BI1387">
        <v>1</v>
      </c>
      <c r="BJ1387">
        <v>1</v>
      </c>
      <c r="BK1387">
        <v>1</v>
      </c>
      <c r="BL1387">
        <v>0</v>
      </c>
      <c r="BO1387">
        <v>0</v>
      </c>
      <c r="BP1387">
        <v>0</v>
      </c>
      <c r="BW1387" t="str">
        <f>"14:50:33.242"</f>
        <v>14:50:33.242</v>
      </c>
      <c r="CJ1387">
        <v>3</v>
      </c>
      <c r="CK1387">
        <v>2</v>
      </c>
      <c r="CL1387">
        <v>0</v>
      </c>
      <c r="CM1387">
        <v>2</v>
      </c>
      <c r="CN1387">
        <v>0</v>
      </c>
      <c r="CO1387">
        <v>6</v>
      </c>
      <c r="CP1387" t="s">
        <v>119</v>
      </c>
      <c r="CQ1387">
        <v>232</v>
      </c>
      <c r="CR1387">
        <v>2</v>
      </c>
      <c r="CW1387">
        <v>6752414</v>
      </c>
      <c r="CY1387">
        <v>1</v>
      </c>
      <c r="CZ1387">
        <v>0</v>
      </c>
      <c r="DA1387">
        <v>1</v>
      </c>
      <c r="DB1387">
        <v>0</v>
      </c>
      <c r="DC1387">
        <v>0</v>
      </c>
      <c r="DD1387">
        <v>1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"12/16/2021 14:50:33.492"</f>
        <v>12/16/2021 14:50:33.492</v>
      </c>
      <c r="C1388" t="str">
        <f t="shared" si="66"/>
        <v>FFDFD3C0</v>
      </c>
      <c r="D1388" t="s">
        <v>124</v>
      </c>
      <c r="E1388">
        <v>10</v>
      </c>
      <c r="F1388">
        <v>1010</v>
      </c>
      <c r="G1388" t="s">
        <v>130</v>
      </c>
      <c r="J1388" t="s">
        <v>125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"14:50:33.234"</f>
        <v>14:50:33.234</v>
      </c>
      <c r="T1388" t="str">
        <f>"14:50:32.734"</f>
        <v>14:50:32.734</v>
      </c>
      <c r="U1388" t="str">
        <f t="shared" si="69"/>
        <v>A0F928</v>
      </c>
      <c r="V1388">
        <v>0</v>
      </c>
      <c r="W1388">
        <v>0</v>
      </c>
      <c r="X1388">
        <v>2</v>
      </c>
      <c r="Z1388">
        <v>0</v>
      </c>
      <c r="AA1388">
        <v>9</v>
      </c>
      <c r="AB1388">
        <v>3</v>
      </c>
      <c r="AC1388">
        <v>0</v>
      </c>
      <c r="AD1388">
        <v>10</v>
      </c>
      <c r="AE1388">
        <v>0</v>
      </c>
      <c r="AF1388">
        <v>3</v>
      </c>
      <c r="AG1388">
        <v>2</v>
      </c>
      <c r="AH1388">
        <v>1</v>
      </c>
      <c r="AI1388" t="s">
        <v>769</v>
      </c>
      <c r="AJ1388">
        <v>35.786096999999998</v>
      </c>
      <c r="AK1388" t="s">
        <v>770</v>
      </c>
      <c r="AL1388">
        <v>-84.035454000000001</v>
      </c>
      <c r="AM1388">
        <v>25</v>
      </c>
      <c r="AN1388">
        <v>1650</v>
      </c>
      <c r="AO1388" t="s">
        <v>118</v>
      </c>
      <c r="AP1388">
        <v>-141</v>
      </c>
      <c r="AQ1388">
        <v>51</v>
      </c>
      <c r="AR1388">
        <v>448</v>
      </c>
      <c r="AZ1388">
        <v>300</v>
      </c>
      <c r="BA1388">
        <v>1</v>
      </c>
      <c r="BB1388" t="str">
        <f t="shared" si="67"/>
        <v xml:space="preserve">N162AM  </v>
      </c>
      <c r="BC1388">
        <v>1</v>
      </c>
      <c r="BE1388">
        <v>0</v>
      </c>
      <c r="BF1388">
        <v>0</v>
      </c>
      <c r="BG1388">
        <v>0</v>
      </c>
      <c r="BH1388">
        <v>1925</v>
      </c>
      <c r="BI1388">
        <v>1</v>
      </c>
      <c r="BJ1388">
        <v>1</v>
      </c>
      <c r="BK1388">
        <v>1</v>
      </c>
      <c r="BL1388">
        <v>0</v>
      </c>
      <c r="BO1388">
        <v>0</v>
      </c>
      <c r="BP1388">
        <v>0</v>
      </c>
      <c r="BW1388" t="str">
        <f>"14:50:33.242"</f>
        <v>14:50:33.242</v>
      </c>
      <c r="CJ1388">
        <v>3</v>
      </c>
      <c r="CK1388">
        <v>2</v>
      </c>
      <c r="CL1388">
        <v>0</v>
      </c>
      <c r="CM1388">
        <v>2</v>
      </c>
      <c r="CN1388">
        <v>0</v>
      </c>
      <c r="CO1388">
        <v>6</v>
      </c>
      <c r="CP1388" t="s">
        <v>119</v>
      </c>
      <c r="CQ1388">
        <v>232</v>
      </c>
      <c r="CR1388">
        <v>2</v>
      </c>
      <c r="CW1388">
        <v>6752414</v>
      </c>
      <c r="CY1388">
        <v>1</v>
      </c>
      <c r="CZ1388">
        <v>0</v>
      </c>
      <c r="DA1388">
        <v>1</v>
      </c>
      <c r="DB1388">
        <v>0</v>
      </c>
      <c r="DC1388">
        <v>0</v>
      </c>
      <c r="DD1388">
        <v>1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>"12/16/2021 14:50:33.492"</f>
        <v>12/16/2021 14:50:33.492</v>
      </c>
      <c r="C1389" t="str">
        <f t="shared" si="66"/>
        <v>FFDFD3C0</v>
      </c>
      <c r="D1389" t="s">
        <v>133</v>
      </c>
      <c r="E1389">
        <v>44</v>
      </c>
      <c r="H1389">
        <v>131</v>
      </c>
      <c r="I1389" t="s">
        <v>134</v>
      </c>
      <c r="J1389" t="s">
        <v>135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"14:50:33.234"</f>
        <v>14:50:33.234</v>
      </c>
      <c r="T1389" t="str">
        <f>"14:50:32.734"</f>
        <v>14:50:32.734</v>
      </c>
      <c r="U1389" t="str">
        <f t="shared" si="69"/>
        <v>A0F928</v>
      </c>
      <c r="V1389">
        <v>0</v>
      </c>
      <c r="W1389">
        <v>0</v>
      </c>
      <c r="X1389">
        <v>2</v>
      </c>
      <c r="Z1389">
        <v>0</v>
      </c>
      <c r="AA1389">
        <v>9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2</v>
      </c>
      <c r="AH1389">
        <v>1</v>
      </c>
      <c r="AI1389" t="s">
        <v>769</v>
      </c>
      <c r="AJ1389">
        <v>35.786096999999998</v>
      </c>
      <c r="AK1389" t="s">
        <v>770</v>
      </c>
      <c r="AL1389">
        <v>-84.035454000000001</v>
      </c>
      <c r="AM1389">
        <v>25</v>
      </c>
      <c r="AN1389">
        <v>1650</v>
      </c>
      <c r="AO1389" t="s">
        <v>118</v>
      </c>
      <c r="AP1389">
        <v>-141</v>
      </c>
      <c r="AQ1389">
        <v>51</v>
      </c>
      <c r="AR1389">
        <v>448</v>
      </c>
      <c r="AZ1389">
        <v>300</v>
      </c>
      <c r="BA1389">
        <v>1</v>
      </c>
      <c r="BB1389" t="str">
        <f t="shared" si="67"/>
        <v xml:space="preserve">N162AM  </v>
      </c>
      <c r="BC1389">
        <v>1</v>
      </c>
      <c r="BE1389">
        <v>0</v>
      </c>
      <c r="BF1389">
        <v>0</v>
      </c>
      <c r="BG1389">
        <v>0</v>
      </c>
      <c r="BH1389">
        <v>1925</v>
      </c>
      <c r="BI1389">
        <v>1</v>
      </c>
      <c r="BJ1389">
        <v>1</v>
      </c>
      <c r="BK1389">
        <v>1</v>
      </c>
      <c r="BL1389">
        <v>0</v>
      </c>
      <c r="BO1389">
        <v>0</v>
      </c>
      <c r="BP1389">
        <v>0</v>
      </c>
      <c r="BW1389" t="str">
        <f>"14:50:33.242"</f>
        <v>14:50:33.242</v>
      </c>
      <c r="CJ1389">
        <v>3</v>
      </c>
      <c r="CK1389">
        <v>2</v>
      </c>
      <c r="CL1389">
        <v>0</v>
      </c>
      <c r="CM1389">
        <v>2</v>
      </c>
      <c r="CN1389">
        <v>0</v>
      </c>
      <c r="CO1389">
        <v>6</v>
      </c>
      <c r="CP1389" t="s">
        <v>119</v>
      </c>
      <c r="CQ1389">
        <v>232</v>
      </c>
      <c r="CR1389">
        <v>2</v>
      </c>
      <c r="CW1389">
        <v>6752414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1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>"12/16/2021 14:50:34.509"</f>
        <v>12/16/2021 14:50:34.509</v>
      </c>
      <c r="C1390" t="str">
        <f t="shared" ref="C1390:C1453" si="70">"FFDFD3C0"</f>
        <v>FFDFD3C0</v>
      </c>
      <c r="D1390" t="s">
        <v>124</v>
      </c>
      <c r="E1390">
        <v>10</v>
      </c>
      <c r="F1390">
        <v>1010</v>
      </c>
      <c r="G1390" t="s">
        <v>130</v>
      </c>
      <c r="J1390" t="s">
        <v>125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"14:50:34.258"</f>
        <v>14:50:34.258</v>
      </c>
      <c r="T1390" t="str">
        <f>"14:50:33.758"</f>
        <v>14:50:33.758</v>
      </c>
      <c r="U1390" t="str">
        <f t="shared" si="69"/>
        <v>A0F928</v>
      </c>
      <c r="V1390">
        <v>0</v>
      </c>
      <c r="W1390">
        <v>0</v>
      </c>
      <c r="X1390">
        <v>2</v>
      </c>
      <c r="Z1390">
        <v>0</v>
      </c>
      <c r="AA1390">
        <v>9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2</v>
      </c>
      <c r="AH1390">
        <v>1</v>
      </c>
      <c r="AI1390" t="s">
        <v>771</v>
      </c>
      <c r="AJ1390">
        <v>35.786419000000002</v>
      </c>
      <c r="AK1390" t="s">
        <v>772</v>
      </c>
      <c r="AL1390">
        <v>-84.036355</v>
      </c>
      <c r="AM1390">
        <v>25</v>
      </c>
      <c r="AN1390">
        <v>1650</v>
      </c>
      <c r="AO1390" t="s">
        <v>118</v>
      </c>
      <c r="AP1390">
        <v>-138</v>
      </c>
      <c r="AQ1390">
        <v>58</v>
      </c>
      <c r="AR1390">
        <v>256</v>
      </c>
      <c r="AZ1390">
        <v>300</v>
      </c>
      <c r="BA1390">
        <v>1</v>
      </c>
      <c r="BB1390" t="str">
        <f t="shared" ref="BB1390:BB1453" si="71">"N162AM  "</f>
        <v xml:space="preserve">N162AM  </v>
      </c>
      <c r="BC1390">
        <v>1</v>
      </c>
      <c r="BE1390">
        <v>0</v>
      </c>
      <c r="BF1390">
        <v>0</v>
      </c>
      <c r="BG1390">
        <v>0</v>
      </c>
      <c r="BH1390">
        <v>1925</v>
      </c>
      <c r="BI1390">
        <v>1</v>
      </c>
      <c r="BJ1390">
        <v>1</v>
      </c>
      <c r="BK1390">
        <v>1</v>
      </c>
      <c r="BL1390">
        <v>0</v>
      </c>
      <c r="BO1390">
        <v>0</v>
      </c>
      <c r="BP1390">
        <v>0</v>
      </c>
      <c r="BW1390" t="str">
        <f>"14:50:34.263"</f>
        <v>14:50:34.263</v>
      </c>
      <c r="CJ1390">
        <v>3</v>
      </c>
      <c r="CK1390">
        <v>2</v>
      </c>
      <c r="CL1390">
        <v>0</v>
      </c>
      <c r="CM1390">
        <v>2</v>
      </c>
      <c r="CN1390">
        <v>0</v>
      </c>
      <c r="CO1390">
        <v>6</v>
      </c>
      <c r="CP1390" t="s">
        <v>119</v>
      </c>
      <c r="CQ1390">
        <v>232</v>
      </c>
      <c r="CR1390">
        <v>2</v>
      </c>
      <c r="CW1390">
        <v>6754154</v>
      </c>
      <c r="CY1390">
        <v>1</v>
      </c>
      <c r="CZ1390">
        <v>0</v>
      </c>
      <c r="DA1390">
        <v>0</v>
      </c>
      <c r="DB1390">
        <v>0</v>
      </c>
      <c r="DC1390">
        <v>0</v>
      </c>
      <c r="DD1390">
        <v>1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>"12/16/2021 14:50:34.509"</f>
        <v>12/16/2021 14:50:34.509</v>
      </c>
      <c r="C1391" t="str">
        <f t="shared" si="70"/>
        <v>FFDFD3C0</v>
      </c>
      <c r="D1391" t="s">
        <v>133</v>
      </c>
      <c r="E1391">
        <v>44</v>
      </c>
      <c r="H1391">
        <v>131</v>
      </c>
      <c r="I1391" t="s">
        <v>134</v>
      </c>
      <c r="J1391" t="s">
        <v>135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"14:50:34.258"</f>
        <v>14:50:34.258</v>
      </c>
      <c r="T1391" t="str">
        <f>"14:50:33.758"</f>
        <v>14:50:33.758</v>
      </c>
      <c r="U1391" t="str">
        <f t="shared" si="69"/>
        <v>A0F928</v>
      </c>
      <c r="V1391">
        <v>0</v>
      </c>
      <c r="W1391">
        <v>0</v>
      </c>
      <c r="X1391">
        <v>2</v>
      </c>
      <c r="Z1391">
        <v>0</v>
      </c>
      <c r="AA1391">
        <v>9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2</v>
      </c>
      <c r="AH1391">
        <v>1</v>
      </c>
      <c r="AI1391" t="s">
        <v>771</v>
      </c>
      <c r="AJ1391">
        <v>35.786419000000002</v>
      </c>
      <c r="AK1391" t="s">
        <v>772</v>
      </c>
      <c r="AL1391">
        <v>-84.036355</v>
      </c>
      <c r="AM1391">
        <v>25</v>
      </c>
      <c r="AN1391">
        <v>1650</v>
      </c>
      <c r="AO1391" t="s">
        <v>118</v>
      </c>
      <c r="AP1391">
        <v>-138</v>
      </c>
      <c r="AQ1391">
        <v>58</v>
      </c>
      <c r="AR1391">
        <v>256</v>
      </c>
      <c r="AZ1391">
        <v>300</v>
      </c>
      <c r="BA1391">
        <v>1</v>
      </c>
      <c r="BB1391" t="str">
        <f t="shared" si="71"/>
        <v xml:space="preserve">N162AM  </v>
      </c>
      <c r="BC1391">
        <v>1</v>
      </c>
      <c r="BE1391">
        <v>0</v>
      </c>
      <c r="BF1391">
        <v>0</v>
      </c>
      <c r="BG1391">
        <v>0</v>
      </c>
      <c r="BH1391">
        <v>1925</v>
      </c>
      <c r="BI1391">
        <v>1</v>
      </c>
      <c r="BJ1391">
        <v>1</v>
      </c>
      <c r="BK1391">
        <v>1</v>
      </c>
      <c r="BL1391">
        <v>0</v>
      </c>
      <c r="BO1391">
        <v>0</v>
      </c>
      <c r="BP1391">
        <v>0</v>
      </c>
      <c r="BW1391" t="str">
        <f>"14:50:34.263"</f>
        <v>14:50:34.263</v>
      </c>
      <c r="CJ1391">
        <v>3</v>
      </c>
      <c r="CK1391">
        <v>2</v>
      </c>
      <c r="CL1391">
        <v>0</v>
      </c>
      <c r="CM1391">
        <v>2</v>
      </c>
      <c r="CN1391">
        <v>0</v>
      </c>
      <c r="CO1391">
        <v>6</v>
      </c>
      <c r="CP1391" t="s">
        <v>119</v>
      </c>
      <c r="CQ1391">
        <v>232</v>
      </c>
      <c r="CR1391">
        <v>2</v>
      </c>
      <c r="CW1391">
        <v>6754154</v>
      </c>
      <c r="CY1391">
        <v>1</v>
      </c>
      <c r="CZ1391">
        <v>0</v>
      </c>
      <c r="DA1391">
        <v>1</v>
      </c>
      <c r="DB1391">
        <v>0</v>
      </c>
      <c r="DC1391">
        <v>0</v>
      </c>
      <c r="DD1391">
        <v>1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>"12/16/2021 14:50:34.509"</f>
        <v>12/16/2021 14:50:34.509</v>
      </c>
      <c r="C1392" t="str">
        <f t="shared" si="70"/>
        <v>FFDFD3C0</v>
      </c>
      <c r="D1392" t="s">
        <v>124</v>
      </c>
      <c r="E1392">
        <v>5</v>
      </c>
      <c r="F1392">
        <v>1005</v>
      </c>
      <c r="G1392" t="s">
        <v>114</v>
      </c>
      <c r="J1392" t="s">
        <v>125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"14:50:34.258"</f>
        <v>14:50:34.258</v>
      </c>
      <c r="T1392" t="str">
        <f>"14:50:33.758"</f>
        <v>14:50:33.758</v>
      </c>
      <c r="U1392" t="str">
        <f t="shared" si="69"/>
        <v>A0F928</v>
      </c>
      <c r="V1392">
        <v>0</v>
      </c>
      <c r="W1392">
        <v>0</v>
      </c>
      <c r="X1392">
        <v>2</v>
      </c>
      <c r="Z1392">
        <v>0</v>
      </c>
      <c r="AA1392">
        <v>9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2</v>
      </c>
      <c r="AH1392">
        <v>1</v>
      </c>
      <c r="AI1392" t="s">
        <v>771</v>
      </c>
      <c r="AJ1392">
        <v>35.786419000000002</v>
      </c>
      <c r="AK1392" t="s">
        <v>772</v>
      </c>
      <c r="AL1392">
        <v>-84.036355</v>
      </c>
      <c r="AM1392">
        <v>25</v>
      </c>
      <c r="AN1392">
        <v>1650</v>
      </c>
      <c r="AO1392" t="s">
        <v>118</v>
      </c>
      <c r="AP1392">
        <v>-138</v>
      </c>
      <c r="AQ1392">
        <v>58</v>
      </c>
      <c r="AR1392">
        <v>256</v>
      </c>
      <c r="AZ1392">
        <v>300</v>
      </c>
      <c r="BA1392">
        <v>1</v>
      </c>
      <c r="BB1392" t="str">
        <f t="shared" si="71"/>
        <v xml:space="preserve">N162AM  </v>
      </c>
      <c r="BC1392">
        <v>1</v>
      </c>
      <c r="BE1392">
        <v>0</v>
      </c>
      <c r="BF1392">
        <v>0</v>
      </c>
      <c r="BG1392">
        <v>0</v>
      </c>
      <c r="BH1392">
        <v>1925</v>
      </c>
      <c r="BI1392">
        <v>1</v>
      </c>
      <c r="BJ1392">
        <v>1</v>
      </c>
      <c r="BK1392">
        <v>1</v>
      </c>
      <c r="BL1392">
        <v>0</v>
      </c>
      <c r="BO1392">
        <v>0</v>
      </c>
      <c r="BP1392">
        <v>0</v>
      </c>
      <c r="BW1392" t="str">
        <f>"14:50:34.263"</f>
        <v>14:50:34.263</v>
      </c>
      <c r="CJ1392">
        <v>3</v>
      </c>
      <c r="CK1392">
        <v>2</v>
      </c>
      <c r="CL1392">
        <v>0</v>
      </c>
      <c r="CM1392">
        <v>2</v>
      </c>
      <c r="CN1392">
        <v>0</v>
      </c>
      <c r="CO1392">
        <v>6</v>
      </c>
      <c r="CP1392" t="s">
        <v>119</v>
      </c>
      <c r="CQ1392">
        <v>232</v>
      </c>
      <c r="CR1392">
        <v>2</v>
      </c>
      <c r="CW1392">
        <v>6754154</v>
      </c>
      <c r="CY1392">
        <v>1</v>
      </c>
      <c r="CZ1392">
        <v>0</v>
      </c>
      <c r="DA1392">
        <v>1</v>
      </c>
      <c r="DB1392">
        <v>0</v>
      </c>
      <c r="DC1392">
        <v>0</v>
      </c>
      <c r="DD1392">
        <v>1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>"12/16/2021 14:50:34.509"</f>
        <v>12/16/2021 14:50:34.509</v>
      </c>
      <c r="C1393" t="str">
        <f t="shared" si="70"/>
        <v>FFDFD3C0</v>
      </c>
      <c r="D1393" t="s">
        <v>113</v>
      </c>
      <c r="E1393">
        <v>8</v>
      </c>
      <c r="H1393">
        <v>176</v>
      </c>
      <c r="I1393" t="s">
        <v>114</v>
      </c>
      <c r="J1393" t="s">
        <v>115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"14:50:34.258"</f>
        <v>14:50:34.258</v>
      </c>
      <c r="T1393" t="str">
        <f>"14:50:33.758"</f>
        <v>14:50:33.758</v>
      </c>
      <c r="U1393" t="str">
        <f t="shared" si="69"/>
        <v>A0F928</v>
      </c>
      <c r="V1393">
        <v>0</v>
      </c>
      <c r="W1393">
        <v>0</v>
      </c>
      <c r="X1393">
        <v>2</v>
      </c>
      <c r="Z1393">
        <v>0</v>
      </c>
      <c r="AA1393">
        <v>9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2</v>
      </c>
      <c r="AH1393">
        <v>1</v>
      </c>
      <c r="AI1393" t="s">
        <v>771</v>
      </c>
      <c r="AJ1393">
        <v>35.786419000000002</v>
      </c>
      <c r="AK1393" t="s">
        <v>772</v>
      </c>
      <c r="AL1393">
        <v>-84.036355</v>
      </c>
      <c r="AM1393">
        <v>25</v>
      </c>
      <c r="AN1393">
        <v>1650</v>
      </c>
      <c r="AO1393" t="s">
        <v>118</v>
      </c>
      <c r="AP1393">
        <v>-138</v>
      </c>
      <c r="AQ1393">
        <v>58</v>
      </c>
      <c r="AR1393">
        <v>256</v>
      </c>
      <c r="AZ1393">
        <v>300</v>
      </c>
      <c r="BA1393">
        <v>1</v>
      </c>
      <c r="BB1393" t="str">
        <f t="shared" si="71"/>
        <v xml:space="preserve">N162AM  </v>
      </c>
      <c r="BC1393">
        <v>1</v>
      </c>
      <c r="BE1393">
        <v>0</v>
      </c>
      <c r="BF1393">
        <v>0</v>
      </c>
      <c r="BG1393">
        <v>0</v>
      </c>
      <c r="BH1393">
        <v>1925</v>
      </c>
      <c r="BI1393">
        <v>1</v>
      </c>
      <c r="BJ1393">
        <v>1</v>
      </c>
      <c r="BK1393">
        <v>1</v>
      </c>
      <c r="BL1393">
        <v>0</v>
      </c>
      <c r="BO1393">
        <v>0</v>
      </c>
      <c r="BP1393">
        <v>0</v>
      </c>
      <c r="BW1393" t="str">
        <f>"14:50:34.263"</f>
        <v>14:50:34.263</v>
      </c>
      <c r="CJ1393">
        <v>3</v>
      </c>
      <c r="CK1393">
        <v>2</v>
      </c>
      <c r="CL1393">
        <v>0</v>
      </c>
      <c r="CM1393">
        <v>2</v>
      </c>
      <c r="CN1393">
        <v>0</v>
      </c>
      <c r="CO1393">
        <v>6</v>
      </c>
      <c r="CP1393" t="s">
        <v>119</v>
      </c>
      <c r="CQ1393">
        <v>232</v>
      </c>
      <c r="CR1393">
        <v>2</v>
      </c>
      <c r="CW1393">
        <v>6754154</v>
      </c>
      <c r="CY1393">
        <v>1</v>
      </c>
      <c r="CZ1393">
        <v>0</v>
      </c>
      <c r="DA1393">
        <v>1</v>
      </c>
      <c r="DB1393">
        <v>0</v>
      </c>
      <c r="DC1393">
        <v>0</v>
      </c>
      <c r="DD1393">
        <v>1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>"12/16/2021 14:50:36.039"</f>
        <v>12/16/2021 14:50:36.039</v>
      </c>
      <c r="C1394" t="str">
        <f t="shared" si="70"/>
        <v>FFDFD3C0</v>
      </c>
      <c r="D1394" t="s">
        <v>113</v>
      </c>
      <c r="E1394">
        <v>8</v>
      </c>
      <c r="H1394">
        <v>176</v>
      </c>
      <c r="I1394" t="s">
        <v>114</v>
      </c>
      <c r="J1394" t="s">
        <v>115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"14:50:35.828"</f>
        <v>14:50:35.828</v>
      </c>
      <c r="T1394" t="str">
        <f>"14:50:35.328"</f>
        <v>14:50:35.328</v>
      </c>
      <c r="U1394" t="str">
        <f t="shared" si="69"/>
        <v>A0F928</v>
      </c>
      <c r="V1394">
        <v>0</v>
      </c>
      <c r="W1394">
        <v>0</v>
      </c>
      <c r="X1394">
        <v>2</v>
      </c>
      <c r="Z1394">
        <v>0</v>
      </c>
      <c r="AA1394">
        <v>9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2</v>
      </c>
      <c r="AH1394">
        <v>1</v>
      </c>
      <c r="AI1394" t="s">
        <v>773</v>
      </c>
      <c r="AJ1394">
        <v>35.786912000000001</v>
      </c>
      <c r="AK1394" t="s">
        <v>774</v>
      </c>
      <c r="AL1394">
        <v>-84.037448999999995</v>
      </c>
      <c r="AM1394">
        <v>25</v>
      </c>
      <c r="AN1394">
        <v>1650</v>
      </c>
      <c r="AO1394" t="s">
        <v>118</v>
      </c>
      <c r="AP1394">
        <v>-132</v>
      </c>
      <c r="AQ1394">
        <v>70</v>
      </c>
      <c r="AR1394">
        <v>64</v>
      </c>
      <c r="AZ1394">
        <v>300</v>
      </c>
      <c r="BA1394">
        <v>1</v>
      </c>
      <c r="BB1394" t="str">
        <f t="shared" si="71"/>
        <v xml:space="preserve">N162AM  </v>
      </c>
      <c r="BC1394">
        <v>1</v>
      </c>
      <c r="BE1394">
        <v>0</v>
      </c>
      <c r="BF1394">
        <v>0</v>
      </c>
      <c r="BG1394">
        <v>0</v>
      </c>
      <c r="BH1394">
        <v>1925</v>
      </c>
      <c r="BI1394">
        <v>1</v>
      </c>
      <c r="BJ1394">
        <v>1</v>
      </c>
      <c r="BK1394">
        <v>1</v>
      </c>
      <c r="BL1394">
        <v>0</v>
      </c>
      <c r="BO1394">
        <v>0</v>
      </c>
      <c r="BP1394">
        <v>0</v>
      </c>
      <c r="BW1394" t="str">
        <f>"14:50:35.835"</f>
        <v>14:50:35.835</v>
      </c>
      <c r="CJ1394">
        <v>3</v>
      </c>
      <c r="CK1394">
        <v>2</v>
      </c>
      <c r="CL1394">
        <v>0</v>
      </c>
      <c r="CM1394">
        <v>2</v>
      </c>
      <c r="CN1394">
        <v>0</v>
      </c>
      <c r="CO1394">
        <v>5</v>
      </c>
      <c r="CP1394" t="s">
        <v>119</v>
      </c>
      <c r="CQ1394">
        <v>232</v>
      </c>
      <c r="CR1394">
        <v>1</v>
      </c>
      <c r="CW1394">
        <v>15555469</v>
      </c>
      <c r="CY1394">
        <v>1</v>
      </c>
      <c r="CZ1394">
        <v>0</v>
      </c>
      <c r="DA1394">
        <v>0</v>
      </c>
      <c r="DB1394">
        <v>0</v>
      </c>
      <c r="DC1394">
        <v>0</v>
      </c>
      <c r="DD1394">
        <v>1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>"12/16/2021 14:50:36.039"</f>
        <v>12/16/2021 14:50:36.039</v>
      </c>
      <c r="C1395" t="str">
        <f t="shared" si="70"/>
        <v>FFDFD3C0</v>
      </c>
      <c r="D1395" t="s">
        <v>124</v>
      </c>
      <c r="E1395">
        <v>5</v>
      </c>
      <c r="F1395">
        <v>1005</v>
      </c>
      <c r="G1395" t="s">
        <v>114</v>
      </c>
      <c r="J1395" t="s">
        <v>125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"14:50:35.828"</f>
        <v>14:50:35.828</v>
      </c>
      <c r="T1395" t="str">
        <f>"14:50:35.328"</f>
        <v>14:50:35.328</v>
      </c>
      <c r="U1395" t="str">
        <f t="shared" si="69"/>
        <v>A0F928</v>
      </c>
      <c r="V1395">
        <v>0</v>
      </c>
      <c r="W1395">
        <v>0</v>
      </c>
      <c r="X1395">
        <v>2</v>
      </c>
      <c r="Z1395">
        <v>0</v>
      </c>
      <c r="AA1395">
        <v>9</v>
      </c>
      <c r="AB1395">
        <v>3</v>
      </c>
      <c r="AC1395">
        <v>0</v>
      </c>
      <c r="AD1395">
        <v>10</v>
      </c>
      <c r="AE1395">
        <v>0</v>
      </c>
      <c r="AF1395">
        <v>3</v>
      </c>
      <c r="AG1395">
        <v>2</v>
      </c>
      <c r="AH1395">
        <v>1</v>
      </c>
      <c r="AI1395" t="s">
        <v>773</v>
      </c>
      <c r="AJ1395">
        <v>35.786912000000001</v>
      </c>
      <c r="AK1395" t="s">
        <v>774</v>
      </c>
      <c r="AL1395">
        <v>-84.037448999999995</v>
      </c>
      <c r="AM1395">
        <v>25</v>
      </c>
      <c r="AN1395">
        <v>1650</v>
      </c>
      <c r="AO1395" t="s">
        <v>118</v>
      </c>
      <c r="AP1395">
        <v>-132</v>
      </c>
      <c r="AQ1395">
        <v>70</v>
      </c>
      <c r="AR1395">
        <v>64</v>
      </c>
      <c r="AZ1395">
        <v>300</v>
      </c>
      <c r="BA1395">
        <v>1</v>
      </c>
      <c r="BB1395" t="str">
        <f t="shared" si="71"/>
        <v xml:space="preserve">N162AM  </v>
      </c>
      <c r="BC1395">
        <v>1</v>
      </c>
      <c r="BE1395">
        <v>0</v>
      </c>
      <c r="BF1395">
        <v>0</v>
      </c>
      <c r="BG1395">
        <v>0</v>
      </c>
      <c r="BH1395">
        <v>1925</v>
      </c>
      <c r="BI1395">
        <v>1</v>
      </c>
      <c r="BJ1395">
        <v>1</v>
      </c>
      <c r="BK1395">
        <v>1</v>
      </c>
      <c r="BL1395">
        <v>0</v>
      </c>
      <c r="BO1395">
        <v>0</v>
      </c>
      <c r="BP1395">
        <v>0</v>
      </c>
      <c r="BW1395" t="str">
        <f>"14:50:35.835"</f>
        <v>14:50:35.835</v>
      </c>
      <c r="CJ1395">
        <v>3</v>
      </c>
      <c r="CK1395">
        <v>2</v>
      </c>
      <c r="CL1395">
        <v>0</v>
      </c>
      <c r="CM1395">
        <v>2</v>
      </c>
      <c r="CN1395">
        <v>0</v>
      </c>
      <c r="CO1395">
        <v>5</v>
      </c>
      <c r="CP1395" t="s">
        <v>119</v>
      </c>
      <c r="CQ1395">
        <v>232</v>
      </c>
      <c r="CR1395">
        <v>1</v>
      </c>
      <c r="CW1395">
        <v>15555469</v>
      </c>
      <c r="CY1395">
        <v>1</v>
      </c>
      <c r="CZ1395">
        <v>0</v>
      </c>
      <c r="DA1395">
        <v>1</v>
      </c>
      <c r="DB1395">
        <v>0</v>
      </c>
      <c r="DC1395">
        <v>0</v>
      </c>
      <c r="DD1395">
        <v>1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>"12/16/2021 14:50:36.054"</f>
        <v>12/16/2021 14:50:36.054</v>
      </c>
      <c r="C1396" t="str">
        <f t="shared" si="70"/>
        <v>FFDFD3C0</v>
      </c>
      <c r="D1396" t="s">
        <v>133</v>
      </c>
      <c r="E1396">
        <v>44</v>
      </c>
      <c r="H1396">
        <v>131</v>
      </c>
      <c r="I1396" t="s">
        <v>134</v>
      </c>
      <c r="J1396" t="s">
        <v>135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"14:50:35.828"</f>
        <v>14:50:35.828</v>
      </c>
      <c r="T1396" t="str">
        <f>"14:50:35.328"</f>
        <v>14:50:35.328</v>
      </c>
      <c r="U1396" t="str">
        <f t="shared" si="69"/>
        <v>A0F928</v>
      </c>
      <c r="V1396">
        <v>0</v>
      </c>
      <c r="W1396">
        <v>0</v>
      </c>
      <c r="X1396">
        <v>2</v>
      </c>
      <c r="Z1396">
        <v>0</v>
      </c>
      <c r="AA1396">
        <v>9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2</v>
      </c>
      <c r="AH1396">
        <v>1</v>
      </c>
      <c r="AI1396" t="s">
        <v>773</v>
      </c>
      <c r="AJ1396">
        <v>35.786912000000001</v>
      </c>
      <c r="AK1396" t="s">
        <v>774</v>
      </c>
      <c r="AL1396">
        <v>-84.037448999999995</v>
      </c>
      <c r="AM1396">
        <v>25</v>
      </c>
      <c r="AN1396">
        <v>1650</v>
      </c>
      <c r="AO1396" t="s">
        <v>118</v>
      </c>
      <c r="AP1396">
        <v>-132</v>
      </c>
      <c r="AQ1396">
        <v>70</v>
      </c>
      <c r="AR1396">
        <v>64</v>
      </c>
      <c r="AZ1396">
        <v>300</v>
      </c>
      <c r="BA1396">
        <v>1</v>
      </c>
      <c r="BB1396" t="str">
        <f t="shared" si="71"/>
        <v xml:space="preserve">N162AM  </v>
      </c>
      <c r="BC1396">
        <v>1</v>
      </c>
      <c r="BE1396">
        <v>0</v>
      </c>
      <c r="BF1396">
        <v>0</v>
      </c>
      <c r="BG1396">
        <v>0</v>
      </c>
      <c r="BH1396">
        <v>1925</v>
      </c>
      <c r="BI1396">
        <v>1</v>
      </c>
      <c r="BJ1396">
        <v>1</v>
      </c>
      <c r="BK1396">
        <v>1</v>
      </c>
      <c r="BL1396">
        <v>0</v>
      </c>
      <c r="BO1396">
        <v>0</v>
      </c>
      <c r="BP1396">
        <v>0</v>
      </c>
      <c r="BW1396" t="str">
        <f>"14:50:35.835"</f>
        <v>14:50:35.835</v>
      </c>
      <c r="CJ1396">
        <v>3</v>
      </c>
      <c r="CK1396">
        <v>2</v>
      </c>
      <c r="CL1396">
        <v>0</v>
      </c>
      <c r="CM1396">
        <v>2</v>
      </c>
      <c r="CN1396">
        <v>0</v>
      </c>
      <c r="CO1396">
        <v>5</v>
      </c>
      <c r="CP1396" t="s">
        <v>119</v>
      </c>
      <c r="CQ1396">
        <v>232</v>
      </c>
      <c r="CR1396">
        <v>1</v>
      </c>
      <c r="CW1396">
        <v>15555469</v>
      </c>
      <c r="CY1396">
        <v>1</v>
      </c>
      <c r="CZ1396">
        <v>0</v>
      </c>
      <c r="DA1396">
        <v>1</v>
      </c>
      <c r="DB1396">
        <v>0</v>
      </c>
      <c r="DC1396">
        <v>0</v>
      </c>
      <c r="DD1396">
        <v>1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>"12/16/2021 14:50:36.070"</f>
        <v>12/16/2021 14:50:36.070</v>
      </c>
      <c r="C1397" t="str">
        <f t="shared" si="70"/>
        <v>FFDFD3C0</v>
      </c>
      <c r="D1397" t="s">
        <v>124</v>
      </c>
      <c r="E1397">
        <v>10</v>
      </c>
      <c r="F1397">
        <v>1010</v>
      </c>
      <c r="G1397" t="s">
        <v>130</v>
      </c>
      <c r="J1397" t="s">
        <v>125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"14:50:35.828"</f>
        <v>14:50:35.828</v>
      </c>
      <c r="T1397" t="str">
        <f>"14:50:35.328"</f>
        <v>14:50:35.328</v>
      </c>
      <c r="U1397" t="str">
        <f t="shared" si="69"/>
        <v>A0F928</v>
      </c>
      <c r="V1397">
        <v>0</v>
      </c>
      <c r="W1397">
        <v>0</v>
      </c>
      <c r="X1397">
        <v>2</v>
      </c>
      <c r="Z1397">
        <v>0</v>
      </c>
      <c r="AA1397">
        <v>9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2</v>
      </c>
      <c r="AH1397">
        <v>1</v>
      </c>
      <c r="AI1397" t="s">
        <v>773</v>
      </c>
      <c r="AJ1397">
        <v>35.786912000000001</v>
      </c>
      <c r="AK1397" t="s">
        <v>774</v>
      </c>
      <c r="AL1397">
        <v>-84.037448999999995</v>
      </c>
      <c r="AM1397">
        <v>25</v>
      </c>
      <c r="AN1397">
        <v>1650</v>
      </c>
      <c r="AO1397" t="s">
        <v>118</v>
      </c>
      <c r="AP1397">
        <v>-132</v>
      </c>
      <c r="AQ1397">
        <v>70</v>
      </c>
      <c r="AR1397">
        <v>64</v>
      </c>
      <c r="AZ1397">
        <v>300</v>
      </c>
      <c r="BA1397">
        <v>1</v>
      </c>
      <c r="BB1397" t="str">
        <f t="shared" si="71"/>
        <v xml:space="preserve">N162AM  </v>
      </c>
      <c r="BC1397">
        <v>1</v>
      </c>
      <c r="BE1397">
        <v>0</v>
      </c>
      <c r="BF1397">
        <v>0</v>
      </c>
      <c r="BG1397">
        <v>0</v>
      </c>
      <c r="BH1397">
        <v>1925</v>
      </c>
      <c r="BI1397">
        <v>1</v>
      </c>
      <c r="BJ1397">
        <v>1</v>
      </c>
      <c r="BK1397">
        <v>1</v>
      </c>
      <c r="BL1397">
        <v>0</v>
      </c>
      <c r="BO1397">
        <v>0</v>
      </c>
      <c r="BP1397">
        <v>0</v>
      </c>
      <c r="BW1397" t="str">
        <f>"14:50:35.835"</f>
        <v>14:50:35.835</v>
      </c>
      <c r="CJ1397">
        <v>3</v>
      </c>
      <c r="CK1397">
        <v>2</v>
      </c>
      <c r="CL1397">
        <v>0</v>
      </c>
      <c r="CM1397">
        <v>2</v>
      </c>
      <c r="CN1397">
        <v>0</v>
      </c>
      <c r="CO1397">
        <v>5</v>
      </c>
      <c r="CP1397" t="s">
        <v>119</v>
      </c>
      <c r="CQ1397">
        <v>232</v>
      </c>
      <c r="CR1397">
        <v>1</v>
      </c>
      <c r="CW1397">
        <v>15555469</v>
      </c>
      <c r="CY1397">
        <v>1</v>
      </c>
      <c r="CZ1397">
        <v>0</v>
      </c>
      <c r="DA1397">
        <v>1</v>
      </c>
      <c r="DB1397">
        <v>0</v>
      </c>
      <c r="DC1397">
        <v>0</v>
      </c>
      <c r="DD1397">
        <v>1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>"12/16/2021 14:50:36.976"</f>
        <v>12/16/2021 14:50:36.976</v>
      </c>
      <c r="C1398" t="str">
        <f t="shared" si="70"/>
        <v>FFDFD3C0</v>
      </c>
      <c r="D1398" t="s">
        <v>124</v>
      </c>
      <c r="E1398">
        <v>10</v>
      </c>
      <c r="F1398">
        <v>1010</v>
      </c>
      <c r="G1398" t="s">
        <v>130</v>
      </c>
      <c r="J1398" t="s">
        <v>125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"14:50:36.727"</f>
        <v>14:50:36.727</v>
      </c>
      <c r="T1398" t="str">
        <f>"14:50:36.327"</f>
        <v>14:50:36.327</v>
      </c>
      <c r="U1398" t="str">
        <f t="shared" si="69"/>
        <v>A0F928</v>
      </c>
      <c r="V1398">
        <v>0</v>
      </c>
      <c r="W1398">
        <v>0</v>
      </c>
      <c r="X1398">
        <v>2</v>
      </c>
      <c r="Z1398">
        <v>0</v>
      </c>
      <c r="AA1398">
        <v>9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2</v>
      </c>
      <c r="AH1398">
        <v>1</v>
      </c>
      <c r="AI1398" t="s">
        <v>775</v>
      </c>
      <c r="AJ1398">
        <v>35.787213000000001</v>
      </c>
      <c r="AK1398" t="s">
        <v>776</v>
      </c>
      <c r="AL1398">
        <v>-84.038115000000005</v>
      </c>
      <c r="AM1398">
        <v>25</v>
      </c>
      <c r="AN1398">
        <v>1650</v>
      </c>
      <c r="AO1398" t="s">
        <v>118</v>
      </c>
      <c r="AP1398">
        <v>-127</v>
      </c>
      <c r="AQ1398">
        <v>79</v>
      </c>
      <c r="AR1398">
        <v>0</v>
      </c>
      <c r="AZ1398">
        <v>300</v>
      </c>
      <c r="BA1398">
        <v>1</v>
      </c>
      <c r="BB1398" t="str">
        <f t="shared" si="71"/>
        <v xml:space="preserve">N162AM  </v>
      </c>
      <c r="BC1398">
        <v>1</v>
      </c>
      <c r="BE1398">
        <v>0</v>
      </c>
      <c r="BF1398">
        <v>0</v>
      </c>
      <c r="BG1398">
        <v>0</v>
      </c>
      <c r="BH1398">
        <v>1925</v>
      </c>
      <c r="BI1398">
        <v>1</v>
      </c>
      <c r="BJ1398">
        <v>1</v>
      </c>
      <c r="BK1398">
        <v>1</v>
      </c>
      <c r="BL1398">
        <v>0</v>
      </c>
      <c r="BO1398">
        <v>0</v>
      </c>
      <c r="BP1398">
        <v>0</v>
      </c>
      <c r="BW1398" t="str">
        <f>"14:50:36.728"</f>
        <v>14:50:36.728</v>
      </c>
      <c r="CJ1398">
        <v>3</v>
      </c>
      <c r="CK1398">
        <v>2</v>
      </c>
      <c r="CL1398">
        <v>0</v>
      </c>
      <c r="CM1398">
        <v>2</v>
      </c>
      <c r="CN1398">
        <v>0</v>
      </c>
      <c r="CO1398">
        <v>6</v>
      </c>
      <c r="CP1398" t="s">
        <v>119</v>
      </c>
      <c r="CQ1398">
        <v>232</v>
      </c>
      <c r="CR1398">
        <v>2</v>
      </c>
      <c r="CW1398">
        <v>6757975</v>
      </c>
      <c r="CY1398">
        <v>1</v>
      </c>
      <c r="CZ1398">
        <v>0</v>
      </c>
      <c r="DA1398">
        <v>0</v>
      </c>
      <c r="DB1398">
        <v>0</v>
      </c>
      <c r="DC1398">
        <v>0</v>
      </c>
      <c r="DD1398">
        <v>1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>"12/16/2021 14:50:36.976"</f>
        <v>12/16/2021 14:50:36.976</v>
      </c>
      <c r="C1399" t="str">
        <f t="shared" si="70"/>
        <v>FFDFD3C0</v>
      </c>
      <c r="D1399" t="s">
        <v>124</v>
      </c>
      <c r="E1399">
        <v>5</v>
      </c>
      <c r="F1399">
        <v>1005</v>
      </c>
      <c r="G1399" t="s">
        <v>114</v>
      </c>
      <c r="J1399" t="s">
        <v>125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"14:50:36.727"</f>
        <v>14:50:36.727</v>
      </c>
      <c r="T1399" t="str">
        <f>"14:50:36.327"</f>
        <v>14:50:36.327</v>
      </c>
      <c r="U1399" t="str">
        <f t="shared" si="69"/>
        <v>A0F928</v>
      </c>
      <c r="V1399">
        <v>0</v>
      </c>
      <c r="W1399">
        <v>0</v>
      </c>
      <c r="X1399">
        <v>2</v>
      </c>
      <c r="Z1399">
        <v>0</v>
      </c>
      <c r="AA1399">
        <v>9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2</v>
      </c>
      <c r="AH1399">
        <v>1</v>
      </c>
      <c r="AI1399" t="s">
        <v>775</v>
      </c>
      <c r="AJ1399">
        <v>35.787213000000001</v>
      </c>
      <c r="AK1399" t="s">
        <v>776</v>
      </c>
      <c r="AL1399">
        <v>-84.038115000000005</v>
      </c>
      <c r="AM1399">
        <v>25</v>
      </c>
      <c r="AN1399">
        <v>1650</v>
      </c>
      <c r="AO1399" t="s">
        <v>118</v>
      </c>
      <c r="AP1399">
        <v>-127</v>
      </c>
      <c r="AQ1399">
        <v>79</v>
      </c>
      <c r="AR1399">
        <v>0</v>
      </c>
      <c r="AZ1399">
        <v>300</v>
      </c>
      <c r="BA1399">
        <v>1</v>
      </c>
      <c r="BB1399" t="str">
        <f t="shared" si="71"/>
        <v xml:space="preserve">N162AM  </v>
      </c>
      <c r="BC1399">
        <v>1</v>
      </c>
      <c r="BE1399">
        <v>0</v>
      </c>
      <c r="BF1399">
        <v>0</v>
      </c>
      <c r="BG1399">
        <v>0</v>
      </c>
      <c r="BH1399">
        <v>1925</v>
      </c>
      <c r="BI1399">
        <v>1</v>
      </c>
      <c r="BJ1399">
        <v>1</v>
      </c>
      <c r="BK1399">
        <v>1</v>
      </c>
      <c r="BL1399">
        <v>0</v>
      </c>
      <c r="BO1399">
        <v>0</v>
      </c>
      <c r="BP1399">
        <v>0</v>
      </c>
      <c r="BW1399" t="str">
        <f>"14:50:36.728"</f>
        <v>14:50:36.728</v>
      </c>
      <c r="CJ1399">
        <v>3</v>
      </c>
      <c r="CK1399">
        <v>2</v>
      </c>
      <c r="CL1399">
        <v>0</v>
      </c>
      <c r="CM1399">
        <v>2</v>
      </c>
      <c r="CN1399">
        <v>0</v>
      </c>
      <c r="CO1399">
        <v>6</v>
      </c>
      <c r="CP1399" t="s">
        <v>119</v>
      </c>
      <c r="CQ1399">
        <v>232</v>
      </c>
      <c r="CR1399">
        <v>2</v>
      </c>
      <c r="CW1399">
        <v>6757975</v>
      </c>
      <c r="CY1399">
        <v>1</v>
      </c>
      <c r="CZ1399">
        <v>0</v>
      </c>
      <c r="DA1399">
        <v>1</v>
      </c>
      <c r="DB1399">
        <v>0</v>
      </c>
      <c r="DC1399">
        <v>0</v>
      </c>
      <c r="DD1399">
        <v>1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>"12/16/2021 14:50:36.976"</f>
        <v>12/16/2021 14:50:36.976</v>
      </c>
      <c r="C1400" t="str">
        <f t="shared" si="70"/>
        <v>FFDFD3C0</v>
      </c>
      <c r="D1400" t="s">
        <v>113</v>
      </c>
      <c r="E1400">
        <v>8</v>
      </c>
      <c r="H1400">
        <v>176</v>
      </c>
      <c r="I1400" t="s">
        <v>114</v>
      </c>
      <c r="J1400" t="s">
        <v>115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"14:50:36.727"</f>
        <v>14:50:36.727</v>
      </c>
      <c r="T1400" t="str">
        <f>"14:50:36.327"</f>
        <v>14:50:36.327</v>
      </c>
      <c r="U1400" t="str">
        <f t="shared" si="69"/>
        <v>A0F928</v>
      </c>
      <c r="V1400">
        <v>0</v>
      </c>
      <c r="W1400">
        <v>0</v>
      </c>
      <c r="X1400">
        <v>2</v>
      </c>
      <c r="Z1400">
        <v>0</v>
      </c>
      <c r="AA1400">
        <v>9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2</v>
      </c>
      <c r="AH1400">
        <v>1</v>
      </c>
      <c r="AI1400" t="s">
        <v>775</v>
      </c>
      <c r="AJ1400">
        <v>35.787213000000001</v>
      </c>
      <c r="AK1400" t="s">
        <v>776</v>
      </c>
      <c r="AL1400">
        <v>-84.038115000000005</v>
      </c>
      <c r="AM1400">
        <v>25</v>
      </c>
      <c r="AN1400">
        <v>1650</v>
      </c>
      <c r="AO1400" t="s">
        <v>118</v>
      </c>
      <c r="AP1400">
        <v>-127</v>
      </c>
      <c r="AQ1400">
        <v>79</v>
      </c>
      <c r="AR1400">
        <v>0</v>
      </c>
      <c r="AZ1400">
        <v>300</v>
      </c>
      <c r="BA1400">
        <v>1</v>
      </c>
      <c r="BB1400" t="str">
        <f t="shared" si="71"/>
        <v xml:space="preserve">N162AM  </v>
      </c>
      <c r="BC1400">
        <v>1</v>
      </c>
      <c r="BE1400">
        <v>0</v>
      </c>
      <c r="BF1400">
        <v>0</v>
      </c>
      <c r="BG1400">
        <v>0</v>
      </c>
      <c r="BH1400">
        <v>1925</v>
      </c>
      <c r="BI1400">
        <v>1</v>
      </c>
      <c r="BJ1400">
        <v>1</v>
      </c>
      <c r="BK1400">
        <v>1</v>
      </c>
      <c r="BL1400">
        <v>0</v>
      </c>
      <c r="BO1400">
        <v>0</v>
      </c>
      <c r="BP1400">
        <v>0</v>
      </c>
      <c r="BW1400" t="str">
        <f>"14:50:36.728"</f>
        <v>14:50:36.728</v>
      </c>
      <c r="CJ1400">
        <v>3</v>
      </c>
      <c r="CK1400">
        <v>2</v>
      </c>
      <c r="CL1400">
        <v>0</v>
      </c>
      <c r="CM1400">
        <v>2</v>
      </c>
      <c r="CN1400">
        <v>0</v>
      </c>
      <c r="CO1400">
        <v>6</v>
      </c>
      <c r="CP1400" t="s">
        <v>119</v>
      </c>
      <c r="CQ1400">
        <v>232</v>
      </c>
      <c r="CR1400">
        <v>2</v>
      </c>
      <c r="CW1400">
        <v>6757975</v>
      </c>
      <c r="CY1400">
        <v>1</v>
      </c>
      <c r="CZ1400">
        <v>0</v>
      </c>
      <c r="DA1400">
        <v>1</v>
      </c>
      <c r="DB1400">
        <v>0</v>
      </c>
      <c r="DC1400">
        <v>0</v>
      </c>
      <c r="DD1400">
        <v>1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>"12/16/2021 14:50:36.976"</f>
        <v>12/16/2021 14:50:36.976</v>
      </c>
      <c r="C1401" t="str">
        <f t="shared" si="70"/>
        <v>FFDFD3C0</v>
      </c>
      <c r="D1401" t="s">
        <v>133</v>
      </c>
      <c r="E1401">
        <v>44</v>
      </c>
      <c r="H1401">
        <v>131</v>
      </c>
      <c r="I1401" t="s">
        <v>134</v>
      </c>
      <c r="J1401" t="s">
        <v>135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"14:50:36.727"</f>
        <v>14:50:36.727</v>
      </c>
      <c r="T1401" t="str">
        <f>"14:50:36.327"</f>
        <v>14:50:36.327</v>
      </c>
      <c r="U1401" t="str">
        <f t="shared" si="69"/>
        <v>A0F928</v>
      </c>
      <c r="V1401">
        <v>0</v>
      </c>
      <c r="W1401">
        <v>0</v>
      </c>
      <c r="X1401">
        <v>2</v>
      </c>
      <c r="Z1401">
        <v>0</v>
      </c>
      <c r="AA1401">
        <v>9</v>
      </c>
      <c r="AB1401">
        <v>3</v>
      </c>
      <c r="AC1401">
        <v>0</v>
      </c>
      <c r="AD1401">
        <v>10</v>
      </c>
      <c r="AE1401">
        <v>0</v>
      </c>
      <c r="AF1401">
        <v>3</v>
      </c>
      <c r="AG1401">
        <v>2</v>
      </c>
      <c r="AH1401">
        <v>1</v>
      </c>
      <c r="AI1401" t="s">
        <v>775</v>
      </c>
      <c r="AJ1401">
        <v>35.787213000000001</v>
      </c>
      <c r="AK1401" t="s">
        <v>776</v>
      </c>
      <c r="AL1401">
        <v>-84.038115000000005</v>
      </c>
      <c r="AM1401">
        <v>25</v>
      </c>
      <c r="AN1401">
        <v>1650</v>
      </c>
      <c r="AO1401" t="s">
        <v>118</v>
      </c>
      <c r="AP1401">
        <v>-127</v>
      </c>
      <c r="AQ1401">
        <v>79</v>
      </c>
      <c r="AR1401">
        <v>0</v>
      </c>
      <c r="AZ1401">
        <v>300</v>
      </c>
      <c r="BA1401">
        <v>1</v>
      </c>
      <c r="BB1401" t="str">
        <f t="shared" si="71"/>
        <v xml:space="preserve">N162AM  </v>
      </c>
      <c r="BC1401">
        <v>1</v>
      </c>
      <c r="BE1401">
        <v>0</v>
      </c>
      <c r="BF1401">
        <v>0</v>
      </c>
      <c r="BG1401">
        <v>0</v>
      </c>
      <c r="BH1401">
        <v>1925</v>
      </c>
      <c r="BI1401">
        <v>1</v>
      </c>
      <c r="BJ1401">
        <v>1</v>
      </c>
      <c r="BK1401">
        <v>1</v>
      </c>
      <c r="BL1401">
        <v>0</v>
      </c>
      <c r="BO1401">
        <v>0</v>
      </c>
      <c r="BP1401">
        <v>0</v>
      </c>
      <c r="BW1401" t="str">
        <f>"14:50:36.728"</f>
        <v>14:50:36.728</v>
      </c>
      <c r="CJ1401">
        <v>3</v>
      </c>
      <c r="CK1401">
        <v>2</v>
      </c>
      <c r="CL1401">
        <v>0</v>
      </c>
      <c r="CM1401">
        <v>2</v>
      </c>
      <c r="CN1401">
        <v>0</v>
      </c>
      <c r="CO1401">
        <v>6</v>
      </c>
      <c r="CP1401" t="s">
        <v>119</v>
      </c>
      <c r="CQ1401">
        <v>232</v>
      </c>
      <c r="CR1401">
        <v>2</v>
      </c>
      <c r="CW1401">
        <v>6757975</v>
      </c>
      <c r="CY1401">
        <v>1</v>
      </c>
      <c r="CZ1401">
        <v>0</v>
      </c>
      <c r="DA1401">
        <v>1</v>
      </c>
      <c r="DB1401">
        <v>0</v>
      </c>
      <c r="DC1401">
        <v>0</v>
      </c>
      <c r="DD1401">
        <v>1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"12/16/2021 14:50:37.929"</f>
        <v>12/16/2021 14:50:37.929</v>
      </c>
      <c r="C1402" t="str">
        <f t="shared" si="70"/>
        <v>FFDFD3C0</v>
      </c>
      <c r="D1402" t="s">
        <v>113</v>
      </c>
      <c r="E1402">
        <v>8</v>
      </c>
      <c r="H1402">
        <v>176</v>
      </c>
      <c r="I1402" t="s">
        <v>114</v>
      </c>
      <c r="J1402" t="s">
        <v>115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"14:50:37.719"</f>
        <v>14:50:37.719</v>
      </c>
      <c r="T1402" t="str">
        <f>"14:50:37.319"</f>
        <v>14:50:37.319</v>
      </c>
      <c r="U1402" t="str">
        <f t="shared" si="69"/>
        <v>A0F928</v>
      </c>
      <c r="V1402">
        <v>0</v>
      </c>
      <c r="W1402">
        <v>0</v>
      </c>
      <c r="X1402">
        <v>2</v>
      </c>
      <c r="Z1402">
        <v>0</v>
      </c>
      <c r="AA1402">
        <v>9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2</v>
      </c>
      <c r="AH1402">
        <v>1</v>
      </c>
      <c r="AI1402" t="s">
        <v>777</v>
      </c>
      <c r="AJ1402">
        <v>35.787641999999998</v>
      </c>
      <c r="AK1402" t="s">
        <v>778</v>
      </c>
      <c r="AL1402">
        <v>-84.038801000000007</v>
      </c>
      <c r="AM1402">
        <v>25</v>
      </c>
      <c r="AN1402">
        <v>1650</v>
      </c>
      <c r="AO1402" t="s">
        <v>118</v>
      </c>
      <c r="AP1402">
        <v>-122</v>
      </c>
      <c r="AQ1402">
        <v>87</v>
      </c>
      <c r="AR1402">
        <v>-128</v>
      </c>
      <c r="AZ1402">
        <v>300</v>
      </c>
      <c r="BA1402">
        <v>1</v>
      </c>
      <c r="BB1402" t="str">
        <f t="shared" si="71"/>
        <v xml:space="preserve">N162AM  </v>
      </c>
      <c r="BC1402">
        <v>1</v>
      </c>
      <c r="BE1402">
        <v>0</v>
      </c>
      <c r="BF1402">
        <v>0</v>
      </c>
      <c r="BG1402">
        <v>0</v>
      </c>
      <c r="BH1402">
        <v>1925</v>
      </c>
      <c r="BI1402">
        <v>1</v>
      </c>
      <c r="BJ1402">
        <v>1</v>
      </c>
      <c r="BK1402">
        <v>1</v>
      </c>
      <c r="BL1402">
        <v>0</v>
      </c>
      <c r="BO1402">
        <v>0</v>
      </c>
      <c r="BP1402">
        <v>0</v>
      </c>
      <c r="BW1402" t="str">
        <f>"14:50:37.726"</f>
        <v>14:50:37.726</v>
      </c>
      <c r="CJ1402">
        <v>3</v>
      </c>
      <c r="CK1402">
        <v>2</v>
      </c>
      <c r="CL1402">
        <v>0</v>
      </c>
      <c r="CM1402">
        <v>2</v>
      </c>
      <c r="CN1402">
        <v>0</v>
      </c>
      <c r="CO1402">
        <v>5</v>
      </c>
      <c r="CP1402" t="s">
        <v>119</v>
      </c>
      <c r="CQ1402">
        <v>232</v>
      </c>
      <c r="CR1402">
        <v>1</v>
      </c>
      <c r="CW1402">
        <v>15558222</v>
      </c>
      <c r="CY1402">
        <v>1</v>
      </c>
      <c r="CZ1402">
        <v>0</v>
      </c>
      <c r="DA1402">
        <v>0</v>
      </c>
      <c r="DB1402">
        <v>0</v>
      </c>
      <c r="DC1402">
        <v>0</v>
      </c>
      <c r="DD1402">
        <v>1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"12/16/2021 14:50:37.945"</f>
        <v>12/16/2021 14:50:37.945</v>
      </c>
      <c r="C1403" t="str">
        <f t="shared" si="70"/>
        <v>FFDFD3C0</v>
      </c>
      <c r="D1403" t="s">
        <v>133</v>
      </c>
      <c r="E1403">
        <v>44</v>
      </c>
      <c r="H1403">
        <v>131</v>
      </c>
      <c r="I1403" t="s">
        <v>134</v>
      </c>
      <c r="J1403" t="s">
        <v>135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"14:50:37.719"</f>
        <v>14:50:37.719</v>
      </c>
      <c r="T1403" t="str">
        <f>"14:50:37.319"</f>
        <v>14:50:37.319</v>
      </c>
      <c r="U1403" t="str">
        <f t="shared" si="69"/>
        <v>A0F928</v>
      </c>
      <c r="V1403">
        <v>0</v>
      </c>
      <c r="W1403">
        <v>0</v>
      </c>
      <c r="X1403">
        <v>2</v>
      </c>
      <c r="Z1403">
        <v>0</v>
      </c>
      <c r="AA1403">
        <v>9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2</v>
      </c>
      <c r="AH1403">
        <v>1</v>
      </c>
      <c r="AI1403" t="s">
        <v>777</v>
      </c>
      <c r="AJ1403">
        <v>35.787641999999998</v>
      </c>
      <c r="AK1403" t="s">
        <v>778</v>
      </c>
      <c r="AL1403">
        <v>-84.038801000000007</v>
      </c>
      <c r="AM1403">
        <v>25</v>
      </c>
      <c r="AN1403">
        <v>1650</v>
      </c>
      <c r="AO1403" t="s">
        <v>118</v>
      </c>
      <c r="AP1403">
        <v>-122</v>
      </c>
      <c r="AQ1403">
        <v>87</v>
      </c>
      <c r="AR1403">
        <v>-128</v>
      </c>
      <c r="AZ1403">
        <v>300</v>
      </c>
      <c r="BA1403">
        <v>1</v>
      </c>
      <c r="BB1403" t="str">
        <f t="shared" si="71"/>
        <v xml:space="preserve">N162AM  </v>
      </c>
      <c r="BC1403">
        <v>1</v>
      </c>
      <c r="BE1403">
        <v>0</v>
      </c>
      <c r="BF1403">
        <v>0</v>
      </c>
      <c r="BG1403">
        <v>0</v>
      </c>
      <c r="BH1403">
        <v>1925</v>
      </c>
      <c r="BI1403">
        <v>1</v>
      </c>
      <c r="BJ1403">
        <v>1</v>
      </c>
      <c r="BK1403">
        <v>1</v>
      </c>
      <c r="BL1403">
        <v>0</v>
      </c>
      <c r="BO1403">
        <v>0</v>
      </c>
      <c r="BP1403">
        <v>0</v>
      </c>
      <c r="BW1403" t="str">
        <f>"14:50:37.726"</f>
        <v>14:50:37.726</v>
      </c>
      <c r="CJ1403">
        <v>3</v>
      </c>
      <c r="CK1403">
        <v>2</v>
      </c>
      <c r="CL1403">
        <v>0</v>
      </c>
      <c r="CM1403">
        <v>2</v>
      </c>
      <c r="CN1403">
        <v>0</v>
      </c>
      <c r="CO1403">
        <v>5</v>
      </c>
      <c r="CP1403" t="s">
        <v>119</v>
      </c>
      <c r="CQ1403">
        <v>232</v>
      </c>
      <c r="CR1403">
        <v>1</v>
      </c>
      <c r="CW1403">
        <v>15558222</v>
      </c>
      <c r="CY1403">
        <v>1</v>
      </c>
      <c r="CZ1403">
        <v>0</v>
      </c>
      <c r="DA1403">
        <v>1</v>
      </c>
      <c r="DB1403">
        <v>0</v>
      </c>
      <c r="DC1403">
        <v>0</v>
      </c>
      <c r="DD1403">
        <v>1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"12/16/2021 14:50:37.945"</f>
        <v>12/16/2021 14:50:37.945</v>
      </c>
      <c r="C1404" t="str">
        <f t="shared" si="70"/>
        <v>FFDFD3C0</v>
      </c>
      <c r="D1404" t="s">
        <v>124</v>
      </c>
      <c r="E1404">
        <v>10</v>
      </c>
      <c r="F1404">
        <v>1010</v>
      </c>
      <c r="G1404" t="s">
        <v>130</v>
      </c>
      <c r="J1404" t="s">
        <v>125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"14:50:37.719"</f>
        <v>14:50:37.719</v>
      </c>
      <c r="T1404" t="str">
        <f>"14:50:37.319"</f>
        <v>14:50:37.319</v>
      </c>
      <c r="U1404" t="str">
        <f t="shared" si="69"/>
        <v>A0F928</v>
      </c>
      <c r="V1404">
        <v>0</v>
      </c>
      <c r="W1404">
        <v>0</v>
      </c>
      <c r="X1404">
        <v>2</v>
      </c>
      <c r="Z1404">
        <v>0</v>
      </c>
      <c r="AA1404">
        <v>9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2</v>
      </c>
      <c r="AH1404">
        <v>1</v>
      </c>
      <c r="AI1404" t="s">
        <v>777</v>
      </c>
      <c r="AJ1404">
        <v>35.787641999999998</v>
      </c>
      <c r="AK1404" t="s">
        <v>778</v>
      </c>
      <c r="AL1404">
        <v>-84.038801000000007</v>
      </c>
      <c r="AM1404">
        <v>25</v>
      </c>
      <c r="AN1404">
        <v>1650</v>
      </c>
      <c r="AO1404" t="s">
        <v>118</v>
      </c>
      <c r="AP1404">
        <v>-122</v>
      </c>
      <c r="AQ1404">
        <v>87</v>
      </c>
      <c r="AR1404">
        <v>-128</v>
      </c>
      <c r="AZ1404">
        <v>300</v>
      </c>
      <c r="BA1404">
        <v>1</v>
      </c>
      <c r="BB1404" t="str">
        <f t="shared" si="71"/>
        <v xml:space="preserve">N162AM  </v>
      </c>
      <c r="BC1404">
        <v>1</v>
      </c>
      <c r="BE1404">
        <v>0</v>
      </c>
      <c r="BF1404">
        <v>0</v>
      </c>
      <c r="BG1404">
        <v>0</v>
      </c>
      <c r="BH1404">
        <v>1925</v>
      </c>
      <c r="BI1404">
        <v>1</v>
      </c>
      <c r="BJ1404">
        <v>1</v>
      </c>
      <c r="BK1404">
        <v>1</v>
      </c>
      <c r="BL1404">
        <v>0</v>
      </c>
      <c r="BO1404">
        <v>0</v>
      </c>
      <c r="BP1404">
        <v>0</v>
      </c>
      <c r="BW1404" t="str">
        <f>"14:50:37.726"</f>
        <v>14:50:37.726</v>
      </c>
      <c r="CJ1404">
        <v>3</v>
      </c>
      <c r="CK1404">
        <v>2</v>
      </c>
      <c r="CL1404">
        <v>0</v>
      </c>
      <c r="CM1404">
        <v>2</v>
      </c>
      <c r="CN1404">
        <v>0</v>
      </c>
      <c r="CO1404">
        <v>5</v>
      </c>
      <c r="CP1404" t="s">
        <v>119</v>
      </c>
      <c r="CQ1404">
        <v>232</v>
      </c>
      <c r="CR1404">
        <v>1</v>
      </c>
      <c r="CW1404">
        <v>15558222</v>
      </c>
      <c r="CY1404">
        <v>1</v>
      </c>
      <c r="CZ1404">
        <v>0</v>
      </c>
      <c r="DA1404">
        <v>1</v>
      </c>
      <c r="DB1404">
        <v>0</v>
      </c>
      <c r="DC1404">
        <v>0</v>
      </c>
      <c r="DD1404">
        <v>1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"12/16/2021 14:50:37.976"</f>
        <v>12/16/2021 14:50:37.976</v>
      </c>
      <c r="C1405" t="str">
        <f t="shared" si="70"/>
        <v>FFDFD3C0</v>
      </c>
      <c r="D1405" t="s">
        <v>124</v>
      </c>
      <c r="E1405">
        <v>5</v>
      </c>
      <c r="F1405">
        <v>1005</v>
      </c>
      <c r="G1405" t="s">
        <v>114</v>
      </c>
      <c r="J1405" t="s">
        <v>125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"14:50:37.719"</f>
        <v>14:50:37.719</v>
      </c>
      <c r="T1405" t="str">
        <f>"14:50:37.319"</f>
        <v>14:50:37.319</v>
      </c>
      <c r="U1405" t="str">
        <f t="shared" si="69"/>
        <v>A0F928</v>
      </c>
      <c r="V1405">
        <v>0</v>
      </c>
      <c r="W1405">
        <v>0</v>
      </c>
      <c r="X1405">
        <v>2</v>
      </c>
      <c r="Z1405">
        <v>0</v>
      </c>
      <c r="AA1405">
        <v>9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2</v>
      </c>
      <c r="AH1405">
        <v>1</v>
      </c>
      <c r="AI1405" t="s">
        <v>777</v>
      </c>
      <c r="AJ1405">
        <v>35.787641999999998</v>
      </c>
      <c r="AK1405" t="s">
        <v>778</v>
      </c>
      <c r="AL1405">
        <v>-84.038801000000007</v>
      </c>
      <c r="AM1405">
        <v>25</v>
      </c>
      <c r="AN1405">
        <v>1650</v>
      </c>
      <c r="AO1405" t="s">
        <v>118</v>
      </c>
      <c r="AP1405">
        <v>-122</v>
      </c>
      <c r="AQ1405">
        <v>87</v>
      </c>
      <c r="AR1405">
        <v>-128</v>
      </c>
      <c r="AZ1405">
        <v>300</v>
      </c>
      <c r="BA1405">
        <v>1</v>
      </c>
      <c r="BB1405" t="str">
        <f t="shared" si="71"/>
        <v xml:space="preserve">N162AM  </v>
      </c>
      <c r="BC1405">
        <v>1</v>
      </c>
      <c r="BE1405">
        <v>0</v>
      </c>
      <c r="BF1405">
        <v>0</v>
      </c>
      <c r="BG1405">
        <v>0</v>
      </c>
      <c r="BH1405">
        <v>1925</v>
      </c>
      <c r="BI1405">
        <v>1</v>
      </c>
      <c r="BJ1405">
        <v>1</v>
      </c>
      <c r="BK1405">
        <v>1</v>
      </c>
      <c r="BL1405">
        <v>0</v>
      </c>
      <c r="BO1405">
        <v>0</v>
      </c>
      <c r="BP1405">
        <v>0</v>
      </c>
      <c r="BW1405" t="str">
        <f>"14:50:37.726"</f>
        <v>14:50:37.726</v>
      </c>
      <c r="CJ1405">
        <v>3</v>
      </c>
      <c r="CK1405">
        <v>2</v>
      </c>
      <c r="CL1405">
        <v>0</v>
      </c>
      <c r="CM1405">
        <v>2</v>
      </c>
      <c r="CN1405">
        <v>0</v>
      </c>
      <c r="CO1405">
        <v>5</v>
      </c>
      <c r="CP1405" t="s">
        <v>119</v>
      </c>
      <c r="CQ1405">
        <v>232</v>
      </c>
      <c r="CR1405">
        <v>1</v>
      </c>
      <c r="CW1405">
        <v>15558222</v>
      </c>
      <c r="CY1405">
        <v>1</v>
      </c>
      <c r="CZ1405">
        <v>0</v>
      </c>
      <c r="DA1405">
        <v>1</v>
      </c>
      <c r="DB1405">
        <v>0</v>
      </c>
      <c r="DC1405">
        <v>0</v>
      </c>
      <c r="DD1405">
        <v>1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"12/16/2021 14:50:38.992"</f>
        <v>12/16/2021 14:50:38.992</v>
      </c>
      <c r="C1406" t="str">
        <f t="shared" si="70"/>
        <v>FFDFD3C0</v>
      </c>
      <c r="D1406" t="s">
        <v>133</v>
      </c>
      <c r="E1406">
        <v>44</v>
      </c>
      <c r="H1406">
        <v>131</v>
      </c>
      <c r="I1406" t="s">
        <v>134</v>
      </c>
      <c r="J1406" t="s">
        <v>135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"14:50:38.781"</f>
        <v>14:50:38.781</v>
      </c>
      <c r="T1406" t="str">
        <f>"14:50:38.281"</f>
        <v>14:50:38.281</v>
      </c>
      <c r="U1406" t="str">
        <f t="shared" si="69"/>
        <v>A0F928</v>
      </c>
      <c r="V1406">
        <v>0</v>
      </c>
      <c r="W1406">
        <v>0</v>
      </c>
      <c r="X1406">
        <v>2</v>
      </c>
      <c r="Z1406">
        <v>0</v>
      </c>
      <c r="AA1406">
        <v>9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2</v>
      </c>
      <c r="AH1406">
        <v>1</v>
      </c>
      <c r="AI1406" t="s">
        <v>779</v>
      </c>
      <c r="AJ1406">
        <v>35.788093000000003</v>
      </c>
      <c r="AK1406" t="s">
        <v>780</v>
      </c>
      <c r="AL1406">
        <v>-84.039508999999995</v>
      </c>
      <c r="AM1406">
        <v>25</v>
      </c>
      <c r="AN1406">
        <v>1650</v>
      </c>
      <c r="AO1406" t="s">
        <v>118</v>
      </c>
      <c r="AP1406">
        <v>-117</v>
      </c>
      <c r="AQ1406">
        <v>93</v>
      </c>
      <c r="AR1406">
        <v>-192</v>
      </c>
      <c r="AZ1406">
        <v>300</v>
      </c>
      <c r="BA1406">
        <v>1</v>
      </c>
      <c r="BB1406" t="str">
        <f t="shared" si="71"/>
        <v xml:space="preserve">N162AM  </v>
      </c>
      <c r="BC1406">
        <v>1</v>
      </c>
      <c r="BE1406">
        <v>0</v>
      </c>
      <c r="BF1406">
        <v>0</v>
      </c>
      <c r="BG1406">
        <v>0</v>
      </c>
      <c r="BH1406">
        <v>1925</v>
      </c>
      <c r="BI1406">
        <v>1</v>
      </c>
      <c r="BJ1406">
        <v>1</v>
      </c>
      <c r="BK1406">
        <v>1</v>
      </c>
      <c r="BL1406">
        <v>0</v>
      </c>
      <c r="BO1406">
        <v>0</v>
      </c>
      <c r="BP1406">
        <v>0</v>
      </c>
      <c r="BW1406" t="str">
        <f>"14:50:38.783"</f>
        <v>14:50:38.783</v>
      </c>
      <c r="CJ1406">
        <v>3</v>
      </c>
      <c r="CK1406">
        <v>2</v>
      </c>
      <c r="CL1406">
        <v>0</v>
      </c>
      <c r="CM1406">
        <v>2</v>
      </c>
      <c r="CN1406">
        <v>0</v>
      </c>
      <c r="CO1406">
        <v>5</v>
      </c>
      <c r="CP1406" t="s">
        <v>119</v>
      </c>
      <c r="CQ1406">
        <v>216</v>
      </c>
      <c r="CR1406">
        <v>1</v>
      </c>
      <c r="CW1406">
        <v>1977093</v>
      </c>
      <c r="CY1406">
        <v>1</v>
      </c>
      <c r="CZ1406">
        <v>0</v>
      </c>
      <c r="DA1406">
        <v>0</v>
      </c>
      <c r="DB1406">
        <v>0</v>
      </c>
      <c r="DC1406">
        <v>0</v>
      </c>
      <c r="DD1406">
        <v>1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"12/16/2021 14:50:38.992"</f>
        <v>12/16/2021 14:50:38.992</v>
      </c>
      <c r="C1407" t="str">
        <f t="shared" si="70"/>
        <v>FFDFD3C0</v>
      </c>
      <c r="D1407" t="s">
        <v>124</v>
      </c>
      <c r="E1407">
        <v>10</v>
      </c>
      <c r="F1407">
        <v>1010</v>
      </c>
      <c r="G1407" t="s">
        <v>130</v>
      </c>
      <c r="J1407" t="s">
        <v>125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"14:50:38.781"</f>
        <v>14:50:38.781</v>
      </c>
      <c r="T1407" t="str">
        <f>"14:50:38.281"</f>
        <v>14:50:38.281</v>
      </c>
      <c r="U1407" t="str">
        <f t="shared" si="69"/>
        <v>A0F928</v>
      </c>
      <c r="V1407">
        <v>0</v>
      </c>
      <c r="W1407">
        <v>0</v>
      </c>
      <c r="X1407">
        <v>2</v>
      </c>
      <c r="Z1407">
        <v>0</v>
      </c>
      <c r="AA1407">
        <v>9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2</v>
      </c>
      <c r="AH1407">
        <v>1</v>
      </c>
      <c r="AI1407" t="s">
        <v>779</v>
      </c>
      <c r="AJ1407">
        <v>35.788093000000003</v>
      </c>
      <c r="AK1407" t="s">
        <v>780</v>
      </c>
      <c r="AL1407">
        <v>-84.039508999999995</v>
      </c>
      <c r="AM1407">
        <v>25</v>
      </c>
      <c r="AN1407">
        <v>1650</v>
      </c>
      <c r="AO1407" t="s">
        <v>118</v>
      </c>
      <c r="AP1407">
        <v>-117</v>
      </c>
      <c r="AQ1407">
        <v>93</v>
      </c>
      <c r="AR1407">
        <v>-192</v>
      </c>
      <c r="AZ1407">
        <v>300</v>
      </c>
      <c r="BA1407">
        <v>1</v>
      </c>
      <c r="BB1407" t="str">
        <f t="shared" si="71"/>
        <v xml:space="preserve">N162AM  </v>
      </c>
      <c r="BC1407">
        <v>1</v>
      </c>
      <c r="BE1407">
        <v>0</v>
      </c>
      <c r="BF1407">
        <v>0</v>
      </c>
      <c r="BG1407">
        <v>0</v>
      </c>
      <c r="BH1407">
        <v>1925</v>
      </c>
      <c r="BI1407">
        <v>1</v>
      </c>
      <c r="BJ1407">
        <v>1</v>
      </c>
      <c r="BK1407">
        <v>1</v>
      </c>
      <c r="BL1407">
        <v>0</v>
      </c>
      <c r="BO1407">
        <v>0</v>
      </c>
      <c r="BP1407">
        <v>0</v>
      </c>
      <c r="BW1407" t="str">
        <f>"14:50:38.783"</f>
        <v>14:50:38.783</v>
      </c>
      <c r="CJ1407">
        <v>3</v>
      </c>
      <c r="CK1407">
        <v>2</v>
      </c>
      <c r="CL1407">
        <v>0</v>
      </c>
      <c r="CM1407">
        <v>2</v>
      </c>
      <c r="CN1407">
        <v>0</v>
      </c>
      <c r="CO1407">
        <v>5</v>
      </c>
      <c r="CP1407" t="s">
        <v>119</v>
      </c>
      <c r="CQ1407">
        <v>216</v>
      </c>
      <c r="CR1407">
        <v>1</v>
      </c>
      <c r="CW1407">
        <v>1977093</v>
      </c>
      <c r="CY1407">
        <v>1</v>
      </c>
      <c r="CZ1407">
        <v>0</v>
      </c>
      <c r="DA1407">
        <v>1</v>
      </c>
      <c r="DB1407">
        <v>0</v>
      </c>
      <c r="DC1407">
        <v>0</v>
      </c>
      <c r="DD1407">
        <v>1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"12/16/2021 14:50:39.023"</f>
        <v>12/16/2021 14:50:39.023</v>
      </c>
      <c r="C1408" t="str">
        <f t="shared" si="70"/>
        <v>FFDFD3C0</v>
      </c>
      <c r="D1408" t="s">
        <v>124</v>
      </c>
      <c r="E1408">
        <v>5</v>
      </c>
      <c r="F1408">
        <v>1005</v>
      </c>
      <c r="G1408" t="s">
        <v>114</v>
      </c>
      <c r="J1408" t="s">
        <v>125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"14:50:38.781"</f>
        <v>14:50:38.781</v>
      </c>
      <c r="T1408" t="str">
        <f>"14:50:38.281"</f>
        <v>14:50:38.281</v>
      </c>
      <c r="U1408" t="str">
        <f t="shared" si="69"/>
        <v>A0F928</v>
      </c>
      <c r="V1408">
        <v>0</v>
      </c>
      <c r="W1408">
        <v>0</v>
      </c>
      <c r="X1408">
        <v>2</v>
      </c>
      <c r="Z1408">
        <v>0</v>
      </c>
      <c r="AA1408">
        <v>9</v>
      </c>
      <c r="AB1408">
        <v>3</v>
      </c>
      <c r="AC1408">
        <v>0</v>
      </c>
      <c r="AD1408">
        <v>10</v>
      </c>
      <c r="AE1408">
        <v>0</v>
      </c>
      <c r="AF1408">
        <v>3</v>
      </c>
      <c r="AG1408">
        <v>2</v>
      </c>
      <c r="AH1408">
        <v>1</v>
      </c>
      <c r="AI1408" t="s">
        <v>779</v>
      </c>
      <c r="AJ1408">
        <v>35.788093000000003</v>
      </c>
      <c r="AK1408" t="s">
        <v>780</v>
      </c>
      <c r="AL1408">
        <v>-84.039508999999995</v>
      </c>
      <c r="AM1408">
        <v>25</v>
      </c>
      <c r="AN1408">
        <v>1650</v>
      </c>
      <c r="AO1408" t="s">
        <v>118</v>
      </c>
      <c r="AP1408">
        <v>-117</v>
      </c>
      <c r="AQ1408">
        <v>93</v>
      </c>
      <c r="AR1408">
        <v>-192</v>
      </c>
      <c r="AZ1408">
        <v>300</v>
      </c>
      <c r="BA1408">
        <v>1</v>
      </c>
      <c r="BB1408" t="str">
        <f t="shared" si="71"/>
        <v xml:space="preserve">N162AM  </v>
      </c>
      <c r="BC1408">
        <v>1</v>
      </c>
      <c r="BE1408">
        <v>0</v>
      </c>
      <c r="BF1408">
        <v>0</v>
      </c>
      <c r="BG1408">
        <v>0</v>
      </c>
      <c r="BH1408">
        <v>1925</v>
      </c>
      <c r="BI1408">
        <v>1</v>
      </c>
      <c r="BJ1408">
        <v>1</v>
      </c>
      <c r="BK1408">
        <v>1</v>
      </c>
      <c r="BL1408">
        <v>0</v>
      </c>
      <c r="BO1408">
        <v>0</v>
      </c>
      <c r="BP1408">
        <v>0</v>
      </c>
      <c r="BW1408" t="str">
        <f>"14:50:38.783"</f>
        <v>14:50:38.783</v>
      </c>
      <c r="CJ1408">
        <v>3</v>
      </c>
      <c r="CK1408">
        <v>2</v>
      </c>
      <c r="CL1408">
        <v>0</v>
      </c>
      <c r="CM1408">
        <v>2</v>
      </c>
      <c r="CN1408">
        <v>0</v>
      </c>
      <c r="CO1408">
        <v>5</v>
      </c>
      <c r="CP1408" t="s">
        <v>119</v>
      </c>
      <c r="CQ1408">
        <v>216</v>
      </c>
      <c r="CR1408">
        <v>1</v>
      </c>
      <c r="CW1408">
        <v>1977093</v>
      </c>
      <c r="CY1408">
        <v>1</v>
      </c>
      <c r="CZ1408">
        <v>0</v>
      </c>
      <c r="DA1408">
        <v>1</v>
      </c>
      <c r="DB1408">
        <v>0</v>
      </c>
      <c r="DC1408">
        <v>0</v>
      </c>
      <c r="DD1408">
        <v>1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"12/16/2021 14:50:39.023"</f>
        <v>12/16/2021 14:50:39.023</v>
      </c>
      <c r="C1409" t="str">
        <f t="shared" si="70"/>
        <v>FFDFD3C0</v>
      </c>
      <c r="D1409" t="s">
        <v>113</v>
      </c>
      <c r="E1409">
        <v>8</v>
      </c>
      <c r="H1409">
        <v>176</v>
      </c>
      <c r="I1409" t="s">
        <v>114</v>
      </c>
      <c r="J1409" t="s">
        <v>115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"14:50:38.781"</f>
        <v>14:50:38.781</v>
      </c>
      <c r="T1409" t="str">
        <f>"14:50:38.281"</f>
        <v>14:50:38.281</v>
      </c>
      <c r="U1409" t="str">
        <f t="shared" si="69"/>
        <v>A0F928</v>
      </c>
      <c r="V1409">
        <v>0</v>
      </c>
      <c r="W1409">
        <v>0</v>
      </c>
      <c r="X1409">
        <v>2</v>
      </c>
      <c r="Z1409">
        <v>0</v>
      </c>
      <c r="AA1409">
        <v>9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2</v>
      </c>
      <c r="AH1409">
        <v>1</v>
      </c>
      <c r="AI1409" t="s">
        <v>779</v>
      </c>
      <c r="AJ1409">
        <v>35.788093000000003</v>
      </c>
      <c r="AK1409" t="s">
        <v>780</v>
      </c>
      <c r="AL1409">
        <v>-84.039508999999995</v>
      </c>
      <c r="AM1409">
        <v>25</v>
      </c>
      <c r="AN1409">
        <v>1650</v>
      </c>
      <c r="AO1409" t="s">
        <v>118</v>
      </c>
      <c r="AP1409">
        <v>-117</v>
      </c>
      <c r="AQ1409">
        <v>93</v>
      </c>
      <c r="AR1409">
        <v>-192</v>
      </c>
      <c r="AZ1409">
        <v>300</v>
      </c>
      <c r="BA1409">
        <v>1</v>
      </c>
      <c r="BB1409" t="str">
        <f t="shared" si="71"/>
        <v xml:space="preserve">N162AM  </v>
      </c>
      <c r="BC1409">
        <v>1</v>
      </c>
      <c r="BE1409">
        <v>0</v>
      </c>
      <c r="BF1409">
        <v>0</v>
      </c>
      <c r="BG1409">
        <v>0</v>
      </c>
      <c r="BH1409">
        <v>1925</v>
      </c>
      <c r="BI1409">
        <v>1</v>
      </c>
      <c r="BJ1409">
        <v>1</v>
      </c>
      <c r="BK1409">
        <v>1</v>
      </c>
      <c r="BL1409">
        <v>0</v>
      </c>
      <c r="BO1409">
        <v>0</v>
      </c>
      <c r="BP1409">
        <v>0</v>
      </c>
      <c r="BW1409" t="str">
        <f>"14:50:38.783"</f>
        <v>14:50:38.783</v>
      </c>
      <c r="CJ1409">
        <v>3</v>
      </c>
      <c r="CK1409">
        <v>2</v>
      </c>
      <c r="CL1409">
        <v>0</v>
      </c>
      <c r="CM1409">
        <v>2</v>
      </c>
      <c r="CN1409">
        <v>0</v>
      </c>
      <c r="CO1409">
        <v>5</v>
      </c>
      <c r="CP1409" t="s">
        <v>119</v>
      </c>
      <c r="CQ1409">
        <v>216</v>
      </c>
      <c r="CR1409">
        <v>1</v>
      </c>
      <c r="CW1409">
        <v>1977093</v>
      </c>
      <c r="CY1409">
        <v>1</v>
      </c>
      <c r="CZ1409">
        <v>0</v>
      </c>
      <c r="DA1409">
        <v>1</v>
      </c>
      <c r="DB1409">
        <v>0</v>
      </c>
      <c r="DC1409">
        <v>0</v>
      </c>
      <c r="DD1409">
        <v>1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"12/16/2021 14:50:40.101"</f>
        <v>12/16/2021 14:50:40.101</v>
      </c>
      <c r="C1410" t="str">
        <f t="shared" si="70"/>
        <v>FFDFD3C0</v>
      </c>
      <c r="D1410" t="s">
        <v>124</v>
      </c>
      <c r="E1410">
        <v>10</v>
      </c>
      <c r="F1410">
        <v>1010</v>
      </c>
      <c r="G1410" t="s">
        <v>130</v>
      </c>
      <c r="J1410" t="s">
        <v>125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"14:50:39.875"</f>
        <v>14:50:39.875</v>
      </c>
      <c r="T1410" t="str">
        <f>"14:50:39.375"</f>
        <v>14:50:39.375</v>
      </c>
      <c r="U1410" t="str">
        <f t="shared" ref="U1410:U1473" si="72">"A0F928"</f>
        <v>A0F928</v>
      </c>
      <c r="V1410">
        <v>0</v>
      </c>
      <c r="W1410">
        <v>0</v>
      </c>
      <c r="X1410">
        <v>2</v>
      </c>
      <c r="Z1410">
        <v>0</v>
      </c>
      <c r="AA1410">
        <v>9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2</v>
      </c>
      <c r="AH1410">
        <v>1</v>
      </c>
      <c r="AI1410" t="s">
        <v>781</v>
      </c>
      <c r="AJ1410">
        <v>35.788671999999998</v>
      </c>
      <c r="AK1410" t="s">
        <v>782</v>
      </c>
      <c r="AL1410">
        <v>-84.040216999999998</v>
      </c>
      <c r="AM1410">
        <v>25</v>
      </c>
      <c r="AN1410">
        <v>1650</v>
      </c>
      <c r="AO1410" t="s">
        <v>118</v>
      </c>
      <c r="AP1410">
        <v>-109</v>
      </c>
      <c r="AQ1410">
        <v>102</v>
      </c>
      <c r="AR1410">
        <v>-256</v>
      </c>
      <c r="AZ1410">
        <v>300</v>
      </c>
      <c r="BA1410">
        <v>1</v>
      </c>
      <c r="BB1410" t="str">
        <f t="shared" si="71"/>
        <v xml:space="preserve">N162AM  </v>
      </c>
      <c r="BC1410">
        <v>1</v>
      </c>
      <c r="BE1410">
        <v>0</v>
      </c>
      <c r="BF1410">
        <v>0</v>
      </c>
      <c r="BG1410">
        <v>0</v>
      </c>
      <c r="BH1410">
        <v>1925</v>
      </c>
      <c r="BI1410">
        <v>1</v>
      </c>
      <c r="BJ1410">
        <v>1</v>
      </c>
      <c r="BK1410">
        <v>1</v>
      </c>
      <c r="BL1410">
        <v>0</v>
      </c>
      <c r="BO1410">
        <v>0</v>
      </c>
      <c r="BP1410">
        <v>0</v>
      </c>
      <c r="BW1410" t="str">
        <f>"14:50:39.881"</f>
        <v>14:50:39.881</v>
      </c>
      <c r="CJ1410">
        <v>3</v>
      </c>
      <c r="CK1410">
        <v>2</v>
      </c>
      <c r="CL1410">
        <v>0</v>
      </c>
      <c r="CM1410">
        <v>2</v>
      </c>
      <c r="CN1410">
        <v>0</v>
      </c>
      <c r="CO1410">
        <v>6</v>
      </c>
      <c r="CP1410" t="s">
        <v>119</v>
      </c>
      <c r="CQ1410">
        <v>232</v>
      </c>
      <c r="CR1410">
        <v>2</v>
      </c>
      <c r="CW1410">
        <v>6763006</v>
      </c>
      <c r="CY1410">
        <v>1</v>
      </c>
      <c r="CZ1410">
        <v>0</v>
      </c>
      <c r="DA1410">
        <v>0</v>
      </c>
      <c r="DB1410">
        <v>0</v>
      </c>
      <c r="DC1410">
        <v>0</v>
      </c>
      <c r="DD1410">
        <v>1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"12/16/2021 14:50:40.117"</f>
        <v>12/16/2021 14:50:40.117</v>
      </c>
      <c r="C1411" t="str">
        <f t="shared" si="70"/>
        <v>FFDFD3C0</v>
      </c>
      <c r="D1411" t="s">
        <v>133</v>
      </c>
      <c r="E1411">
        <v>44</v>
      </c>
      <c r="H1411">
        <v>131</v>
      </c>
      <c r="I1411" t="s">
        <v>134</v>
      </c>
      <c r="J1411" t="s">
        <v>135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"14:50:39.875"</f>
        <v>14:50:39.875</v>
      </c>
      <c r="T1411" t="str">
        <f>"14:50:39.375"</f>
        <v>14:50:39.375</v>
      </c>
      <c r="U1411" t="str">
        <f t="shared" si="72"/>
        <v>A0F928</v>
      </c>
      <c r="V1411">
        <v>0</v>
      </c>
      <c r="W1411">
        <v>0</v>
      </c>
      <c r="X1411">
        <v>2</v>
      </c>
      <c r="Z1411">
        <v>0</v>
      </c>
      <c r="AA1411">
        <v>9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2</v>
      </c>
      <c r="AH1411">
        <v>1</v>
      </c>
      <c r="AI1411" t="s">
        <v>781</v>
      </c>
      <c r="AJ1411">
        <v>35.788671999999998</v>
      </c>
      <c r="AK1411" t="s">
        <v>782</v>
      </c>
      <c r="AL1411">
        <v>-84.040216999999998</v>
      </c>
      <c r="AM1411">
        <v>25</v>
      </c>
      <c r="AN1411">
        <v>1650</v>
      </c>
      <c r="AO1411" t="s">
        <v>118</v>
      </c>
      <c r="AP1411">
        <v>-109</v>
      </c>
      <c r="AQ1411">
        <v>102</v>
      </c>
      <c r="AR1411">
        <v>-256</v>
      </c>
      <c r="AZ1411">
        <v>300</v>
      </c>
      <c r="BA1411">
        <v>1</v>
      </c>
      <c r="BB1411" t="str">
        <f t="shared" si="71"/>
        <v xml:space="preserve">N162AM  </v>
      </c>
      <c r="BC1411">
        <v>1</v>
      </c>
      <c r="BE1411">
        <v>0</v>
      </c>
      <c r="BF1411">
        <v>0</v>
      </c>
      <c r="BG1411">
        <v>0</v>
      </c>
      <c r="BH1411">
        <v>1925</v>
      </c>
      <c r="BI1411">
        <v>1</v>
      </c>
      <c r="BJ1411">
        <v>1</v>
      </c>
      <c r="BK1411">
        <v>1</v>
      </c>
      <c r="BL1411">
        <v>0</v>
      </c>
      <c r="BO1411">
        <v>0</v>
      </c>
      <c r="BP1411">
        <v>0</v>
      </c>
      <c r="BW1411" t="str">
        <f>"14:50:39.881"</f>
        <v>14:50:39.881</v>
      </c>
      <c r="CJ1411">
        <v>3</v>
      </c>
      <c r="CK1411">
        <v>2</v>
      </c>
      <c r="CL1411">
        <v>0</v>
      </c>
      <c r="CM1411">
        <v>2</v>
      </c>
      <c r="CN1411">
        <v>0</v>
      </c>
      <c r="CO1411">
        <v>6</v>
      </c>
      <c r="CP1411" t="s">
        <v>119</v>
      </c>
      <c r="CQ1411">
        <v>232</v>
      </c>
      <c r="CR1411">
        <v>2</v>
      </c>
      <c r="CW1411">
        <v>6763006</v>
      </c>
      <c r="CY1411">
        <v>1</v>
      </c>
      <c r="CZ1411">
        <v>0</v>
      </c>
      <c r="DA1411">
        <v>1</v>
      </c>
      <c r="DB1411">
        <v>0</v>
      </c>
      <c r="DC1411">
        <v>0</v>
      </c>
      <c r="DD1411">
        <v>1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"12/16/2021 14:50:40.132"</f>
        <v>12/16/2021 14:50:40.132</v>
      </c>
      <c r="C1412" t="str">
        <f t="shared" si="70"/>
        <v>FFDFD3C0</v>
      </c>
      <c r="D1412" t="s">
        <v>124</v>
      </c>
      <c r="E1412">
        <v>5</v>
      </c>
      <c r="F1412">
        <v>1005</v>
      </c>
      <c r="G1412" t="s">
        <v>114</v>
      </c>
      <c r="J1412" t="s">
        <v>125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"14:50:39.875"</f>
        <v>14:50:39.875</v>
      </c>
      <c r="T1412" t="str">
        <f>"14:50:39.375"</f>
        <v>14:50:39.375</v>
      </c>
      <c r="U1412" t="str">
        <f t="shared" si="72"/>
        <v>A0F928</v>
      </c>
      <c r="V1412">
        <v>0</v>
      </c>
      <c r="W1412">
        <v>0</v>
      </c>
      <c r="X1412">
        <v>2</v>
      </c>
      <c r="Z1412">
        <v>0</v>
      </c>
      <c r="AA1412">
        <v>9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2</v>
      </c>
      <c r="AH1412">
        <v>1</v>
      </c>
      <c r="AI1412" t="s">
        <v>781</v>
      </c>
      <c r="AJ1412">
        <v>35.788671999999998</v>
      </c>
      <c r="AK1412" t="s">
        <v>782</v>
      </c>
      <c r="AL1412">
        <v>-84.040216999999998</v>
      </c>
      <c r="AM1412">
        <v>25</v>
      </c>
      <c r="AN1412">
        <v>1650</v>
      </c>
      <c r="AO1412" t="s">
        <v>118</v>
      </c>
      <c r="AP1412">
        <v>-109</v>
      </c>
      <c r="AQ1412">
        <v>102</v>
      </c>
      <c r="AR1412">
        <v>-256</v>
      </c>
      <c r="AZ1412">
        <v>300</v>
      </c>
      <c r="BA1412">
        <v>1</v>
      </c>
      <c r="BB1412" t="str">
        <f t="shared" si="71"/>
        <v xml:space="preserve">N162AM  </v>
      </c>
      <c r="BC1412">
        <v>1</v>
      </c>
      <c r="BE1412">
        <v>0</v>
      </c>
      <c r="BF1412">
        <v>0</v>
      </c>
      <c r="BG1412">
        <v>0</v>
      </c>
      <c r="BH1412">
        <v>1925</v>
      </c>
      <c r="BI1412">
        <v>1</v>
      </c>
      <c r="BJ1412">
        <v>1</v>
      </c>
      <c r="BK1412">
        <v>1</v>
      </c>
      <c r="BL1412">
        <v>0</v>
      </c>
      <c r="BO1412">
        <v>0</v>
      </c>
      <c r="BP1412">
        <v>0</v>
      </c>
      <c r="BW1412" t="str">
        <f>"14:50:39.881"</f>
        <v>14:50:39.881</v>
      </c>
      <c r="CJ1412">
        <v>3</v>
      </c>
      <c r="CK1412">
        <v>2</v>
      </c>
      <c r="CL1412">
        <v>0</v>
      </c>
      <c r="CM1412">
        <v>2</v>
      </c>
      <c r="CN1412">
        <v>0</v>
      </c>
      <c r="CO1412">
        <v>6</v>
      </c>
      <c r="CP1412" t="s">
        <v>119</v>
      </c>
      <c r="CQ1412">
        <v>232</v>
      </c>
      <c r="CR1412">
        <v>2</v>
      </c>
      <c r="CW1412">
        <v>6763006</v>
      </c>
      <c r="CY1412">
        <v>1</v>
      </c>
      <c r="CZ1412">
        <v>0</v>
      </c>
      <c r="DA1412">
        <v>1</v>
      </c>
      <c r="DB1412">
        <v>0</v>
      </c>
      <c r="DC1412">
        <v>0</v>
      </c>
      <c r="DD1412">
        <v>1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"12/16/2021 14:50:40.132"</f>
        <v>12/16/2021 14:50:40.132</v>
      </c>
      <c r="C1413" t="str">
        <f t="shared" si="70"/>
        <v>FFDFD3C0</v>
      </c>
      <c r="D1413" t="s">
        <v>113</v>
      </c>
      <c r="E1413">
        <v>8</v>
      </c>
      <c r="H1413">
        <v>176</v>
      </c>
      <c r="I1413" t="s">
        <v>114</v>
      </c>
      <c r="J1413" t="s">
        <v>115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"14:50:39.875"</f>
        <v>14:50:39.875</v>
      </c>
      <c r="T1413" t="str">
        <f>"14:50:39.375"</f>
        <v>14:50:39.375</v>
      </c>
      <c r="U1413" t="str">
        <f t="shared" si="72"/>
        <v>A0F928</v>
      </c>
      <c r="V1413">
        <v>0</v>
      </c>
      <c r="W1413">
        <v>0</v>
      </c>
      <c r="X1413">
        <v>2</v>
      </c>
      <c r="Z1413">
        <v>0</v>
      </c>
      <c r="AA1413">
        <v>9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2</v>
      </c>
      <c r="AH1413">
        <v>1</v>
      </c>
      <c r="AI1413" t="s">
        <v>781</v>
      </c>
      <c r="AJ1413">
        <v>35.788671999999998</v>
      </c>
      <c r="AK1413" t="s">
        <v>782</v>
      </c>
      <c r="AL1413">
        <v>-84.040216999999998</v>
      </c>
      <c r="AM1413">
        <v>25</v>
      </c>
      <c r="AN1413">
        <v>1650</v>
      </c>
      <c r="AO1413" t="s">
        <v>118</v>
      </c>
      <c r="AP1413">
        <v>-109</v>
      </c>
      <c r="AQ1413">
        <v>102</v>
      </c>
      <c r="AR1413">
        <v>-256</v>
      </c>
      <c r="AZ1413">
        <v>300</v>
      </c>
      <c r="BA1413">
        <v>1</v>
      </c>
      <c r="BB1413" t="str">
        <f t="shared" si="71"/>
        <v xml:space="preserve">N162AM  </v>
      </c>
      <c r="BC1413">
        <v>1</v>
      </c>
      <c r="BE1413">
        <v>0</v>
      </c>
      <c r="BF1413">
        <v>0</v>
      </c>
      <c r="BG1413">
        <v>0</v>
      </c>
      <c r="BH1413">
        <v>1925</v>
      </c>
      <c r="BI1413">
        <v>1</v>
      </c>
      <c r="BJ1413">
        <v>1</v>
      </c>
      <c r="BK1413">
        <v>1</v>
      </c>
      <c r="BL1413">
        <v>0</v>
      </c>
      <c r="BO1413">
        <v>0</v>
      </c>
      <c r="BP1413">
        <v>0</v>
      </c>
      <c r="BW1413" t="str">
        <f>"14:50:39.881"</f>
        <v>14:50:39.881</v>
      </c>
      <c r="CJ1413">
        <v>3</v>
      </c>
      <c r="CK1413">
        <v>2</v>
      </c>
      <c r="CL1413">
        <v>0</v>
      </c>
      <c r="CM1413">
        <v>2</v>
      </c>
      <c r="CN1413">
        <v>0</v>
      </c>
      <c r="CO1413">
        <v>6</v>
      </c>
      <c r="CP1413" t="s">
        <v>119</v>
      </c>
      <c r="CQ1413">
        <v>232</v>
      </c>
      <c r="CR1413">
        <v>2</v>
      </c>
      <c r="CW1413">
        <v>6763006</v>
      </c>
      <c r="CY1413">
        <v>1</v>
      </c>
      <c r="CZ1413">
        <v>0</v>
      </c>
      <c r="DA1413">
        <v>1</v>
      </c>
      <c r="DB1413">
        <v>0</v>
      </c>
      <c r="DC1413">
        <v>0</v>
      </c>
      <c r="DD1413">
        <v>1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"12/16/2021 14:50:41.101"</f>
        <v>12/16/2021 14:50:41.101</v>
      </c>
      <c r="C1414" t="str">
        <f t="shared" si="70"/>
        <v>FFDFD3C0</v>
      </c>
      <c r="D1414" t="s">
        <v>124</v>
      </c>
      <c r="E1414">
        <v>5</v>
      </c>
      <c r="F1414">
        <v>1005</v>
      </c>
      <c r="G1414" t="s">
        <v>114</v>
      </c>
      <c r="J1414" t="s">
        <v>125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"14:50:40.875"</f>
        <v>14:50:40.875</v>
      </c>
      <c r="T1414" t="str">
        <f>"14:50:39.975"</f>
        <v>14:50:39.975</v>
      </c>
      <c r="U1414" t="str">
        <f t="shared" si="72"/>
        <v>A0F928</v>
      </c>
      <c r="V1414">
        <v>0</v>
      </c>
      <c r="W1414">
        <v>0</v>
      </c>
      <c r="X1414">
        <v>2</v>
      </c>
      <c r="Z1414">
        <v>0</v>
      </c>
      <c r="AA1414">
        <v>9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2</v>
      </c>
      <c r="AH1414">
        <v>1</v>
      </c>
      <c r="AI1414" t="s">
        <v>783</v>
      </c>
      <c r="AJ1414">
        <v>35.789164999999997</v>
      </c>
      <c r="AK1414" t="s">
        <v>784</v>
      </c>
      <c r="AL1414">
        <v>-84.040796999999998</v>
      </c>
      <c r="AM1414">
        <v>25</v>
      </c>
      <c r="AN1414">
        <v>1650</v>
      </c>
      <c r="AO1414" t="s">
        <v>118</v>
      </c>
      <c r="AP1414">
        <v>-106</v>
      </c>
      <c r="AQ1414">
        <v>105</v>
      </c>
      <c r="AR1414">
        <v>-320</v>
      </c>
      <c r="AZ1414">
        <v>300</v>
      </c>
      <c r="BA1414">
        <v>1</v>
      </c>
      <c r="BB1414" t="str">
        <f t="shared" si="71"/>
        <v xml:space="preserve">N162AM  </v>
      </c>
      <c r="BC1414">
        <v>1</v>
      </c>
      <c r="BE1414">
        <v>0</v>
      </c>
      <c r="BF1414">
        <v>0</v>
      </c>
      <c r="BG1414">
        <v>0</v>
      </c>
      <c r="BH1414">
        <v>1925</v>
      </c>
      <c r="BI1414">
        <v>1</v>
      </c>
      <c r="BJ1414">
        <v>1</v>
      </c>
      <c r="BK1414">
        <v>1</v>
      </c>
      <c r="BL1414">
        <v>0</v>
      </c>
      <c r="BO1414">
        <v>0</v>
      </c>
      <c r="BP1414">
        <v>0</v>
      </c>
      <c r="BW1414" t="str">
        <f>"14:50:40.877"</f>
        <v>14:50:40.877</v>
      </c>
      <c r="CJ1414">
        <v>3</v>
      </c>
      <c r="CK1414">
        <v>2</v>
      </c>
      <c r="CL1414">
        <v>0</v>
      </c>
      <c r="CM1414">
        <v>2</v>
      </c>
      <c r="CN1414">
        <v>0</v>
      </c>
      <c r="CO1414">
        <v>6</v>
      </c>
      <c r="CP1414" t="s">
        <v>119</v>
      </c>
      <c r="CQ1414">
        <v>232</v>
      </c>
      <c r="CR1414">
        <v>2</v>
      </c>
      <c r="CW1414">
        <v>6764525</v>
      </c>
      <c r="CY1414">
        <v>1</v>
      </c>
      <c r="CZ1414">
        <v>0</v>
      </c>
      <c r="DA1414">
        <v>0</v>
      </c>
      <c r="DB1414">
        <v>0</v>
      </c>
      <c r="DC1414">
        <v>0</v>
      </c>
      <c r="DD1414">
        <v>1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>"12/16/2021 14:50:41.101"</f>
        <v>12/16/2021 14:50:41.101</v>
      </c>
      <c r="C1415" t="str">
        <f t="shared" si="70"/>
        <v>FFDFD3C0</v>
      </c>
      <c r="D1415" t="s">
        <v>113</v>
      </c>
      <c r="E1415">
        <v>8</v>
      </c>
      <c r="H1415">
        <v>176</v>
      </c>
      <c r="I1415" t="s">
        <v>114</v>
      </c>
      <c r="J1415" t="s">
        <v>115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"14:50:40.875"</f>
        <v>14:50:40.875</v>
      </c>
      <c r="T1415" t="str">
        <f>"14:50:39.975"</f>
        <v>14:50:39.975</v>
      </c>
      <c r="U1415" t="str">
        <f t="shared" si="72"/>
        <v>A0F928</v>
      </c>
      <c r="V1415">
        <v>0</v>
      </c>
      <c r="W1415">
        <v>0</v>
      </c>
      <c r="X1415">
        <v>2</v>
      </c>
      <c r="Z1415">
        <v>0</v>
      </c>
      <c r="AA1415">
        <v>9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2</v>
      </c>
      <c r="AH1415">
        <v>1</v>
      </c>
      <c r="AI1415" t="s">
        <v>783</v>
      </c>
      <c r="AJ1415">
        <v>35.789164999999997</v>
      </c>
      <c r="AK1415" t="s">
        <v>784</v>
      </c>
      <c r="AL1415">
        <v>-84.040796999999998</v>
      </c>
      <c r="AM1415">
        <v>25</v>
      </c>
      <c r="AN1415">
        <v>1650</v>
      </c>
      <c r="AO1415" t="s">
        <v>118</v>
      </c>
      <c r="AP1415">
        <v>-106</v>
      </c>
      <c r="AQ1415">
        <v>105</v>
      </c>
      <c r="AR1415">
        <v>-320</v>
      </c>
      <c r="AZ1415">
        <v>300</v>
      </c>
      <c r="BA1415">
        <v>1</v>
      </c>
      <c r="BB1415" t="str">
        <f t="shared" si="71"/>
        <v xml:space="preserve">N162AM  </v>
      </c>
      <c r="BC1415">
        <v>1</v>
      </c>
      <c r="BE1415">
        <v>0</v>
      </c>
      <c r="BF1415">
        <v>0</v>
      </c>
      <c r="BG1415">
        <v>0</v>
      </c>
      <c r="BH1415">
        <v>1925</v>
      </c>
      <c r="BI1415">
        <v>1</v>
      </c>
      <c r="BJ1415">
        <v>1</v>
      </c>
      <c r="BK1415">
        <v>1</v>
      </c>
      <c r="BL1415">
        <v>0</v>
      </c>
      <c r="BO1415">
        <v>0</v>
      </c>
      <c r="BP1415">
        <v>0</v>
      </c>
      <c r="BW1415" t="str">
        <f>"14:50:40.877"</f>
        <v>14:50:40.877</v>
      </c>
      <c r="CJ1415">
        <v>3</v>
      </c>
      <c r="CK1415">
        <v>2</v>
      </c>
      <c r="CL1415">
        <v>0</v>
      </c>
      <c r="CM1415">
        <v>2</v>
      </c>
      <c r="CN1415">
        <v>0</v>
      </c>
      <c r="CO1415">
        <v>6</v>
      </c>
      <c r="CP1415" t="s">
        <v>119</v>
      </c>
      <c r="CQ1415">
        <v>232</v>
      </c>
      <c r="CR1415">
        <v>2</v>
      </c>
      <c r="CW1415">
        <v>6764525</v>
      </c>
      <c r="CY1415">
        <v>1</v>
      </c>
      <c r="CZ1415">
        <v>0</v>
      </c>
      <c r="DA1415">
        <v>1</v>
      </c>
      <c r="DB1415">
        <v>0</v>
      </c>
      <c r="DC1415">
        <v>0</v>
      </c>
      <c r="DD1415">
        <v>1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>"12/16/2021 14:50:41.101"</f>
        <v>12/16/2021 14:50:41.101</v>
      </c>
      <c r="C1416" t="str">
        <f t="shared" si="70"/>
        <v>FFDFD3C0</v>
      </c>
      <c r="D1416" t="s">
        <v>124</v>
      </c>
      <c r="E1416">
        <v>10</v>
      </c>
      <c r="F1416">
        <v>1010</v>
      </c>
      <c r="G1416" t="s">
        <v>130</v>
      </c>
      <c r="J1416" t="s">
        <v>125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"14:50:40.875"</f>
        <v>14:50:40.875</v>
      </c>
      <c r="T1416" t="str">
        <f>"14:50:39.975"</f>
        <v>14:50:39.975</v>
      </c>
      <c r="U1416" t="str">
        <f t="shared" si="72"/>
        <v>A0F928</v>
      </c>
      <c r="V1416">
        <v>0</v>
      </c>
      <c r="W1416">
        <v>0</v>
      </c>
      <c r="X1416">
        <v>2</v>
      </c>
      <c r="Z1416">
        <v>0</v>
      </c>
      <c r="AA1416">
        <v>9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2</v>
      </c>
      <c r="AH1416">
        <v>1</v>
      </c>
      <c r="AI1416" t="s">
        <v>783</v>
      </c>
      <c r="AJ1416">
        <v>35.789164999999997</v>
      </c>
      <c r="AK1416" t="s">
        <v>784</v>
      </c>
      <c r="AL1416">
        <v>-84.040796999999998</v>
      </c>
      <c r="AM1416">
        <v>25</v>
      </c>
      <c r="AN1416">
        <v>1650</v>
      </c>
      <c r="AO1416" t="s">
        <v>118</v>
      </c>
      <c r="AP1416">
        <v>-106</v>
      </c>
      <c r="AQ1416">
        <v>105</v>
      </c>
      <c r="AR1416">
        <v>-320</v>
      </c>
      <c r="AZ1416">
        <v>300</v>
      </c>
      <c r="BA1416">
        <v>1</v>
      </c>
      <c r="BB1416" t="str">
        <f t="shared" si="71"/>
        <v xml:space="preserve">N162AM  </v>
      </c>
      <c r="BC1416">
        <v>1</v>
      </c>
      <c r="BE1416">
        <v>0</v>
      </c>
      <c r="BF1416">
        <v>0</v>
      </c>
      <c r="BG1416">
        <v>0</v>
      </c>
      <c r="BH1416">
        <v>1925</v>
      </c>
      <c r="BI1416">
        <v>1</v>
      </c>
      <c r="BJ1416">
        <v>1</v>
      </c>
      <c r="BK1416">
        <v>1</v>
      </c>
      <c r="BL1416">
        <v>0</v>
      </c>
      <c r="BO1416">
        <v>0</v>
      </c>
      <c r="BP1416">
        <v>0</v>
      </c>
      <c r="BW1416" t="str">
        <f>"14:50:40.877"</f>
        <v>14:50:40.877</v>
      </c>
      <c r="CJ1416">
        <v>3</v>
      </c>
      <c r="CK1416">
        <v>2</v>
      </c>
      <c r="CL1416">
        <v>0</v>
      </c>
      <c r="CM1416">
        <v>2</v>
      </c>
      <c r="CN1416">
        <v>0</v>
      </c>
      <c r="CO1416">
        <v>6</v>
      </c>
      <c r="CP1416" t="s">
        <v>119</v>
      </c>
      <c r="CQ1416">
        <v>232</v>
      </c>
      <c r="CR1416">
        <v>2</v>
      </c>
      <c r="CW1416">
        <v>6764525</v>
      </c>
      <c r="CY1416">
        <v>1</v>
      </c>
      <c r="CZ1416">
        <v>0</v>
      </c>
      <c r="DA1416">
        <v>1</v>
      </c>
      <c r="DB1416">
        <v>0</v>
      </c>
      <c r="DC1416">
        <v>0</v>
      </c>
      <c r="DD1416">
        <v>1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>"12/16/2021 14:50:41.101"</f>
        <v>12/16/2021 14:50:41.101</v>
      </c>
      <c r="C1417" t="str">
        <f t="shared" si="70"/>
        <v>FFDFD3C0</v>
      </c>
      <c r="D1417" t="s">
        <v>133</v>
      </c>
      <c r="E1417">
        <v>44</v>
      </c>
      <c r="H1417">
        <v>131</v>
      </c>
      <c r="I1417" t="s">
        <v>134</v>
      </c>
      <c r="J1417" t="s">
        <v>135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"14:50:40.875"</f>
        <v>14:50:40.875</v>
      </c>
      <c r="T1417" t="str">
        <f>"14:50:39.975"</f>
        <v>14:50:39.975</v>
      </c>
      <c r="U1417" t="str">
        <f t="shared" si="72"/>
        <v>A0F928</v>
      </c>
      <c r="V1417">
        <v>0</v>
      </c>
      <c r="W1417">
        <v>0</v>
      </c>
      <c r="X1417">
        <v>2</v>
      </c>
      <c r="Z1417">
        <v>0</v>
      </c>
      <c r="AA1417">
        <v>9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2</v>
      </c>
      <c r="AH1417">
        <v>1</v>
      </c>
      <c r="AI1417" t="s">
        <v>783</v>
      </c>
      <c r="AJ1417">
        <v>35.789164999999997</v>
      </c>
      <c r="AK1417" t="s">
        <v>784</v>
      </c>
      <c r="AL1417">
        <v>-84.040796999999998</v>
      </c>
      <c r="AM1417">
        <v>25</v>
      </c>
      <c r="AN1417">
        <v>1650</v>
      </c>
      <c r="AO1417" t="s">
        <v>118</v>
      </c>
      <c r="AP1417">
        <v>-106</v>
      </c>
      <c r="AQ1417">
        <v>105</v>
      </c>
      <c r="AR1417">
        <v>-320</v>
      </c>
      <c r="AZ1417">
        <v>300</v>
      </c>
      <c r="BA1417">
        <v>1</v>
      </c>
      <c r="BB1417" t="str">
        <f t="shared" si="71"/>
        <v xml:space="preserve">N162AM  </v>
      </c>
      <c r="BC1417">
        <v>1</v>
      </c>
      <c r="BE1417">
        <v>0</v>
      </c>
      <c r="BF1417">
        <v>0</v>
      </c>
      <c r="BG1417">
        <v>0</v>
      </c>
      <c r="BH1417">
        <v>1925</v>
      </c>
      <c r="BI1417">
        <v>1</v>
      </c>
      <c r="BJ1417">
        <v>1</v>
      </c>
      <c r="BK1417">
        <v>1</v>
      </c>
      <c r="BL1417">
        <v>0</v>
      </c>
      <c r="BO1417">
        <v>0</v>
      </c>
      <c r="BP1417">
        <v>0</v>
      </c>
      <c r="BW1417" t="str">
        <f>"14:50:40.877"</f>
        <v>14:50:40.877</v>
      </c>
      <c r="CJ1417">
        <v>3</v>
      </c>
      <c r="CK1417">
        <v>2</v>
      </c>
      <c r="CL1417">
        <v>0</v>
      </c>
      <c r="CM1417">
        <v>2</v>
      </c>
      <c r="CN1417">
        <v>0</v>
      </c>
      <c r="CO1417">
        <v>6</v>
      </c>
      <c r="CP1417" t="s">
        <v>119</v>
      </c>
      <c r="CQ1417">
        <v>232</v>
      </c>
      <c r="CR1417">
        <v>2</v>
      </c>
      <c r="CW1417">
        <v>6764525</v>
      </c>
      <c r="CY1417">
        <v>1</v>
      </c>
      <c r="CZ1417">
        <v>0</v>
      </c>
      <c r="DA1417">
        <v>1</v>
      </c>
      <c r="DB1417">
        <v>0</v>
      </c>
      <c r="DC1417">
        <v>0</v>
      </c>
      <c r="DD1417">
        <v>1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>"12/16/2021 14:50:42.039"</f>
        <v>12/16/2021 14:50:42.039</v>
      </c>
      <c r="C1418" t="str">
        <f t="shared" si="70"/>
        <v>FFDFD3C0</v>
      </c>
      <c r="D1418" t="s">
        <v>133</v>
      </c>
      <c r="E1418">
        <v>44</v>
      </c>
      <c r="H1418">
        <v>131</v>
      </c>
      <c r="I1418" t="s">
        <v>134</v>
      </c>
      <c r="J1418" t="s">
        <v>135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"14:50:41.805"</f>
        <v>14:50:41.805</v>
      </c>
      <c r="T1418" t="str">
        <f>"14:50:41.405"</f>
        <v>14:50:41.405</v>
      </c>
      <c r="U1418" t="str">
        <f t="shared" si="72"/>
        <v>A0F928</v>
      </c>
      <c r="V1418">
        <v>0</v>
      </c>
      <c r="W1418">
        <v>0</v>
      </c>
      <c r="X1418">
        <v>2</v>
      </c>
      <c r="Z1418">
        <v>0</v>
      </c>
      <c r="AA1418">
        <v>9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2</v>
      </c>
      <c r="AH1418">
        <v>1</v>
      </c>
      <c r="AI1418" t="s">
        <v>785</v>
      </c>
      <c r="AJ1418">
        <v>35.789616000000002</v>
      </c>
      <c r="AK1418" t="s">
        <v>786</v>
      </c>
      <c r="AL1418">
        <v>-84.041225999999995</v>
      </c>
      <c r="AM1418">
        <v>25</v>
      </c>
      <c r="AN1418">
        <v>1650</v>
      </c>
      <c r="AO1418" t="s">
        <v>118</v>
      </c>
      <c r="AP1418">
        <v>-98</v>
      </c>
      <c r="AQ1418">
        <v>113</v>
      </c>
      <c r="AR1418">
        <v>-512</v>
      </c>
      <c r="AZ1418">
        <v>300</v>
      </c>
      <c r="BA1418">
        <v>1</v>
      </c>
      <c r="BB1418" t="str">
        <f t="shared" si="71"/>
        <v xml:space="preserve">N162AM  </v>
      </c>
      <c r="BC1418">
        <v>1</v>
      </c>
      <c r="BE1418">
        <v>0</v>
      </c>
      <c r="BF1418">
        <v>0</v>
      </c>
      <c r="BG1418">
        <v>0</v>
      </c>
      <c r="BH1418">
        <v>1925</v>
      </c>
      <c r="BI1418">
        <v>1</v>
      </c>
      <c r="BJ1418">
        <v>1</v>
      </c>
      <c r="BK1418">
        <v>1</v>
      </c>
      <c r="BL1418">
        <v>0</v>
      </c>
      <c r="BO1418">
        <v>0</v>
      </c>
      <c r="BP1418">
        <v>0</v>
      </c>
      <c r="BW1418" t="str">
        <f>"14:50:41.807"</f>
        <v>14:50:41.807</v>
      </c>
      <c r="CJ1418">
        <v>3</v>
      </c>
      <c r="CK1418">
        <v>2</v>
      </c>
      <c r="CL1418">
        <v>0</v>
      </c>
      <c r="CM1418">
        <v>2</v>
      </c>
      <c r="CN1418">
        <v>0</v>
      </c>
      <c r="CO1418">
        <v>5</v>
      </c>
      <c r="CP1418" t="s">
        <v>119</v>
      </c>
      <c r="CQ1418">
        <v>232</v>
      </c>
      <c r="CR1418">
        <v>2</v>
      </c>
      <c r="CW1418">
        <v>6765994</v>
      </c>
      <c r="CY1418">
        <v>1</v>
      </c>
      <c r="CZ1418">
        <v>0</v>
      </c>
      <c r="DA1418">
        <v>0</v>
      </c>
      <c r="DB1418">
        <v>0</v>
      </c>
      <c r="DC1418">
        <v>0</v>
      </c>
      <c r="DD1418">
        <v>1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>"12/16/2021 14:50:42.054"</f>
        <v>12/16/2021 14:50:42.054</v>
      </c>
      <c r="C1419" t="str">
        <f t="shared" si="70"/>
        <v>FFDFD3C0</v>
      </c>
      <c r="D1419" t="s">
        <v>124</v>
      </c>
      <c r="E1419">
        <v>5</v>
      </c>
      <c r="F1419">
        <v>1005</v>
      </c>
      <c r="G1419" t="s">
        <v>114</v>
      </c>
      <c r="J1419" t="s">
        <v>125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"14:50:41.805"</f>
        <v>14:50:41.805</v>
      </c>
      <c r="T1419" t="str">
        <f>"14:50:41.405"</f>
        <v>14:50:41.405</v>
      </c>
      <c r="U1419" t="str">
        <f t="shared" si="72"/>
        <v>A0F928</v>
      </c>
      <c r="V1419">
        <v>0</v>
      </c>
      <c r="W1419">
        <v>0</v>
      </c>
      <c r="X1419">
        <v>2</v>
      </c>
      <c r="Z1419">
        <v>0</v>
      </c>
      <c r="AA1419">
        <v>9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2</v>
      </c>
      <c r="AH1419">
        <v>1</v>
      </c>
      <c r="AI1419" t="s">
        <v>785</v>
      </c>
      <c r="AJ1419">
        <v>35.789616000000002</v>
      </c>
      <c r="AK1419" t="s">
        <v>786</v>
      </c>
      <c r="AL1419">
        <v>-84.041225999999995</v>
      </c>
      <c r="AM1419">
        <v>25</v>
      </c>
      <c r="AN1419">
        <v>1650</v>
      </c>
      <c r="AO1419" t="s">
        <v>118</v>
      </c>
      <c r="AP1419">
        <v>-98</v>
      </c>
      <c r="AQ1419">
        <v>113</v>
      </c>
      <c r="AR1419">
        <v>-512</v>
      </c>
      <c r="AZ1419">
        <v>300</v>
      </c>
      <c r="BA1419">
        <v>1</v>
      </c>
      <c r="BB1419" t="str">
        <f t="shared" si="71"/>
        <v xml:space="preserve">N162AM  </v>
      </c>
      <c r="BC1419">
        <v>1</v>
      </c>
      <c r="BE1419">
        <v>0</v>
      </c>
      <c r="BF1419">
        <v>0</v>
      </c>
      <c r="BG1419">
        <v>0</v>
      </c>
      <c r="BH1419">
        <v>1925</v>
      </c>
      <c r="BI1419">
        <v>1</v>
      </c>
      <c r="BJ1419">
        <v>1</v>
      </c>
      <c r="BK1419">
        <v>1</v>
      </c>
      <c r="BL1419">
        <v>0</v>
      </c>
      <c r="BO1419">
        <v>0</v>
      </c>
      <c r="BP1419">
        <v>0</v>
      </c>
      <c r="BW1419" t="str">
        <f>"14:50:41.807"</f>
        <v>14:50:41.807</v>
      </c>
      <c r="CJ1419">
        <v>3</v>
      </c>
      <c r="CK1419">
        <v>2</v>
      </c>
      <c r="CL1419">
        <v>0</v>
      </c>
      <c r="CM1419">
        <v>2</v>
      </c>
      <c r="CN1419">
        <v>0</v>
      </c>
      <c r="CO1419">
        <v>5</v>
      </c>
      <c r="CP1419" t="s">
        <v>119</v>
      </c>
      <c r="CQ1419">
        <v>232</v>
      </c>
      <c r="CR1419">
        <v>2</v>
      </c>
      <c r="CW1419">
        <v>6765994</v>
      </c>
      <c r="CY1419">
        <v>1</v>
      </c>
      <c r="CZ1419">
        <v>0</v>
      </c>
      <c r="DA1419">
        <v>1</v>
      </c>
      <c r="DB1419">
        <v>0</v>
      </c>
      <c r="DC1419">
        <v>0</v>
      </c>
      <c r="DD1419">
        <v>1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>"12/16/2021 14:50:42.054"</f>
        <v>12/16/2021 14:50:42.054</v>
      </c>
      <c r="C1420" t="str">
        <f t="shared" si="70"/>
        <v>FFDFD3C0</v>
      </c>
      <c r="D1420" t="s">
        <v>124</v>
      </c>
      <c r="E1420">
        <v>10</v>
      </c>
      <c r="F1420">
        <v>1010</v>
      </c>
      <c r="G1420" t="s">
        <v>130</v>
      </c>
      <c r="J1420" t="s">
        <v>125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"14:50:41.805"</f>
        <v>14:50:41.805</v>
      </c>
      <c r="T1420" t="str">
        <f>"14:50:41.405"</f>
        <v>14:50:41.405</v>
      </c>
      <c r="U1420" t="str">
        <f t="shared" si="72"/>
        <v>A0F928</v>
      </c>
      <c r="V1420">
        <v>0</v>
      </c>
      <c r="W1420">
        <v>0</v>
      </c>
      <c r="X1420">
        <v>2</v>
      </c>
      <c r="Z1420">
        <v>0</v>
      </c>
      <c r="AA1420">
        <v>9</v>
      </c>
      <c r="AB1420">
        <v>3</v>
      </c>
      <c r="AC1420">
        <v>0</v>
      </c>
      <c r="AD1420">
        <v>10</v>
      </c>
      <c r="AE1420">
        <v>0</v>
      </c>
      <c r="AF1420">
        <v>3</v>
      </c>
      <c r="AG1420">
        <v>2</v>
      </c>
      <c r="AH1420">
        <v>1</v>
      </c>
      <c r="AI1420" t="s">
        <v>785</v>
      </c>
      <c r="AJ1420">
        <v>35.789616000000002</v>
      </c>
      <c r="AK1420" t="s">
        <v>786</v>
      </c>
      <c r="AL1420">
        <v>-84.041225999999995</v>
      </c>
      <c r="AM1420">
        <v>25</v>
      </c>
      <c r="AN1420">
        <v>1650</v>
      </c>
      <c r="AO1420" t="s">
        <v>118</v>
      </c>
      <c r="AP1420">
        <v>-98</v>
      </c>
      <c r="AQ1420">
        <v>113</v>
      </c>
      <c r="AR1420">
        <v>-512</v>
      </c>
      <c r="AZ1420">
        <v>300</v>
      </c>
      <c r="BA1420">
        <v>1</v>
      </c>
      <c r="BB1420" t="str">
        <f t="shared" si="71"/>
        <v xml:space="preserve">N162AM  </v>
      </c>
      <c r="BC1420">
        <v>1</v>
      </c>
      <c r="BE1420">
        <v>0</v>
      </c>
      <c r="BF1420">
        <v>0</v>
      </c>
      <c r="BG1420">
        <v>0</v>
      </c>
      <c r="BH1420">
        <v>1925</v>
      </c>
      <c r="BI1420">
        <v>1</v>
      </c>
      <c r="BJ1420">
        <v>1</v>
      </c>
      <c r="BK1420">
        <v>1</v>
      </c>
      <c r="BL1420">
        <v>0</v>
      </c>
      <c r="BO1420">
        <v>0</v>
      </c>
      <c r="BP1420">
        <v>0</v>
      </c>
      <c r="BW1420" t="str">
        <f>"14:50:41.807"</f>
        <v>14:50:41.807</v>
      </c>
      <c r="CJ1420">
        <v>3</v>
      </c>
      <c r="CK1420">
        <v>2</v>
      </c>
      <c r="CL1420">
        <v>0</v>
      </c>
      <c r="CM1420">
        <v>2</v>
      </c>
      <c r="CN1420">
        <v>0</v>
      </c>
      <c r="CO1420">
        <v>5</v>
      </c>
      <c r="CP1420" t="s">
        <v>119</v>
      </c>
      <c r="CQ1420">
        <v>232</v>
      </c>
      <c r="CR1420">
        <v>2</v>
      </c>
      <c r="CW1420">
        <v>6765994</v>
      </c>
      <c r="CY1420">
        <v>1</v>
      </c>
      <c r="CZ1420">
        <v>0</v>
      </c>
      <c r="DA1420">
        <v>1</v>
      </c>
      <c r="DB1420">
        <v>0</v>
      </c>
      <c r="DC1420">
        <v>0</v>
      </c>
      <c r="DD1420">
        <v>1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"12/16/2021 14:50:42.054"</f>
        <v>12/16/2021 14:50:42.054</v>
      </c>
      <c r="C1421" t="str">
        <f t="shared" si="70"/>
        <v>FFDFD3C0</v>
      </c>
      <c r="D1421" t="s">
        <v>113</v>
      </c>
      <c r="E1421">
        <v>8</v>
      </c>
      <c r="H1421">
        <v>176</v>
      </c>
      <c r="I1421" t="s">
        <v>114</v>
      </c>
      <c r="J1421" t="s">
        <v>115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"14:50:41.805"</f>
        <v>14:50:41.805</v>
      </c>
      <c r="T1421" t="str">
        <f>"14:50:41.405"</f>
        <v>14:50:41.405</v>
      </c>
      <c r="U1421" t="str">
        <f t="shared" si="72"/>
        <v>A0F928</v>
      </c>
      <c r="V1421">
        <v>0</v>
      </c>
      <c r="W1421">
        <v>0</v>
      </c>
      <c r="X1421">
        <v>2</v>
      </c>
      <c r="Z1421">
        <v>0</v>
      </c>
      <c r="AA1421">
        <v>9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2</v>
      </c>
      <c r="AH1421">
        <v>1</v>
      </c>
      <c r="AI1421" t="s">
        <v>785</v>
      </c>
      <c r="AJ1421">
        <v>35.789616000000002</v>
      </c>
      <c r="AK1421" t="s">
        <v>786</v>
      </c>
      <c r="AL1421">
        <v>-84.041225999999995</v>
      </c>
      <c r="AM1421">
        <v>25</v>
      </c>
      <c r="AN1421">
        <v>1650</v>
      </c>
      <c r="AO1421" t="s">
        <v>118</v>
      </c>
      <c r="AP1421">
        <v>-98</v>
      </c>
      <c r="AQ1421">
        <v>113</v>
      </c>
      <c r="AR1421">
        <v>-512</v>
      </c>
      <c r="AZ1421">
        <v>300</v>
      </c>
      <c r="BA1421">
        <v>1</v>
      </c>
      <c r="BB1421" t="str">
        <f t="shared" si="71"/>
        <v xml:space="preserve">N162AM  </v>
      </c>
      <c r="BC1421">
        <v>1</v>
      </c>
      <c r="BE1421">
        <v>0</v>
      </c>
      <c r="BF1421">
        <v>0</v>
      </c>
      <c r="BG1421">
        <v>0</v>
      </c>
      <c r="BH1421">
        <v>1925</v>
      </c>
      <c r="BI1421">
        <v>1</v>
      </c>
      <c r="BJ1421">
        <v>1</v>
      </c>
      <c r="BK1421">
        <v>1</v>
      </c>
      <c r="BL1421">
        <v>0</v>
      </c>
      <c r="BO1421">
        <v>0</v>
      </c>
      <c r="BP1421">
        <v>0</v>
      </c>
      <c r="BW1421" t="str">
        <f>"14:50:41.807"</f>
        <v>14:50:41.807</v>
      </c>
      <c r="CJ1421">
        <v>3</v>
      </c>
      <c r="CK1421">
        <v>2</v>
      </c>
      <c r="CL1421">
        <v>0</v>
      </c>
      <c r="CM1421">
        <v>2</v>
      </c>
      <c r="CN1421">
        <v>0</v>
      </c>
      <c r="CO1421">
        <v>5</v>
      </c>
      <c r="CP1421" t="s">
        <v>119</v>
      </c>
      <c r="CQ1421">
        <v>232</v>
      </c>
      <c r="CR1421">
        <v>2</v>
      </c>
      <c r="CW1421">
        <v>6765994</v>
      </c>
      <c r="CY1421">
        <v>1</v>
      </c>
      <c r="CZ1421">
        <v>0</v>
      </c>
      <c r="DA1421">
        <v>1</v>
      </c>
      <c r="DB1421">
        <v>0</v>
      </c>
      <c r="DC1421">
        <v>0</v>
      </c>
      <c r="DD1421">
        <v>1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"12/16/2021 14:50:42.976"</f>
        <v>12/16/2021 14:50:42.976</v>
      </c>
      <c r="C1422" t="str">
        <f t="shared" si="70"/>
        <v>FFDFD3C0</v>
      </c>
      <c r="D1422" t="s">
        <v>113</v>
      </c>
      <c r="E1422">
        <v>8</v>
      </c>
      <c r="H1422">
        <v>176</v>
      </c>
      <c r="I1422" t="s">
        <v>114</v>
      </c>
      <c r="J1422" t="s">
        <v>115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"14:50:42.797"</f>
        <v>14:50:42.797</v>
      </c>
      <c r="T1422" t="str">
        <f>"14:50:42.297"</f>
        <v>14:50:42.297</v>
      </c>
      <c r="U1422" t="str">
        <f t="shared" si="72"/>
        <v>A0F928</v>
      </c>
      <c r="V1422">
        <v>0</v>
      </c>
      <c r="W1422">
        <v>0</v>
      </c>
      <c r="X1422">
        <v>2</v>
      </c>
      <c r="Z1422">
        <v>0</v>
      </c>
      <c r="AA1422">
        <v>9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2</v>
      </c>
      <c r="AH1422">
        <v>1</v>
      </c>
      <c r="AI1422" t="s">
        <v>787</v>
      </c>
      <c r="AJ1422">
        <v>35.790216999999998</v>
      </c>
      <c r="AK1422" t="s">
        <v>788</v>
      </c>
      <c r="AL1422">
        <v>-84.041741000000002</v>
      </c>
      <c r="AM1422">
        <v>25</v>
      </c>
      <c r="AN1422">
        <v>1650</v>
      </c>
      <c r="AO1422" t="s">
        <v>118</v>
      </c>
      <c r="AP1422">
        <v>-93</v>
      </c>
      <c r="AQ1422">
        <v>117</v>
      </c>
      <c r="AR1422">
        <v>-512</v>
      </c>
      <c r="AZ1422">
        <v>300</v>
      </c>
      <c r="BA1422">
        <v>1</v>
      </c>
      <c r="BB1422" t="str">
        <f t="shared" si="71"/>
        <v xml:space="preserve">N162AM  </v>
      </c>
      <c r="BC1422">
        <v>1</v>
      </c>
      <c r="BE1422">
        <v>0</v>
      </c>
      <c r="BF1422">
        <v>0</v>
      </c>
      <c r="BG1422">
        <v>0</v>
      </c>
      <c r="BH1422">
        <v>1925</v>
      </c>
      <c r="BI1422">
        <v>1</v>
      </c>
      <c r="BJ1422">
        <v>1</v>
      </c>
      <c r="BK1422">
        <v>1</v>
      </c>
      <c r="BL1422">
        <v>0</v>
      </c>
      <c r="BO1422">
        <v>0</v>
      </c>
      <c r="BP1422">
        <v>0</v>
      </c>
      <c r="BW1422" t="str">
        <f>"14:50:42.799"</f>
        <v>14:50:42.799</v>
      </c>
      <c r="CJ1422">
        <v>3</v>
      </c>
      <c r="CK1422">
        <v>2</v>
      </c>
      <c r="CL1422">
        <v>0</v>
      </c>
      <c r="CM1422">
        <v>2</v>
      </c>
      <c r="CN1422">
        <v>0</v>
      </c>
      <c r="CO1422">
        <v>5</v>
      </c>
      <c r="CP1422" t="s">
        <v>119</v>
      </c>
      <c r="CQ1422">
        <v>216</v>
      </c>
      <c r="CR1422">
        <v>0</v>
      </c>
      <c r="CW1422">
        <v>948312</v>
      </c>
      <c r="CY1422">
        <v>1</v>
      </c>
      <c r="CZ1422">
        <v>0</v>
      </c>
      <c r="DA1422">
        <v>0</v>
      </c>
      <c r="DB1422">
        <v>0</v>
      </c>
      <c r="DC1422">
        <v>0</v>
      </c>
      <c r="DD1422">
        <v>1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>"12/16/2021 14:50:42.976"</f>
        <v>12/16/2021 14:50:42.976</v>
      </c>
      <c r="C1423" t="str">
        <f t="shared" si="70"/>
        <v>FFDFD3C0</v>
      </c>
      <c r="D1423" t="s">
        <v>133</v>
      </c>
      <c r="E1423">
        <v>44</v>
      </c>
      <c r="H1423">
        <v>131</v>
      </c>
      <c r="I1423" t="s">
        <v>134</v>
      </c>
      <c r="J1423" t="s">
        <v>135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"14:50:42.797"</f>
        <v>14:50:42.797</v>
      </c>
      <c r="T1423" t="str">
        <f>"14:50:42.297"</f>
        <v>14:50:42.297</v>
      </c>
      <c r="U1423" t="str">
        <f t="shared" si="72"/>
        <v>A0F928</v>
      </c>
      <c r="V1423">
        <v>0</v>
      </c>
      <c r="W1423">
        <v>0</v>
      </c>
      <c r="X1423">
        <v>2</v>
      </c>
      <c r="Z1423">
        <v>0</v>
      </c>
      <c r="AA1423">
        <v>9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2</v>
      </c>
      <c r="AH1423">
        <v>1</v>
      </c>
      <c r="AI1423" t="s">
        <v>787</v>
      </c>
      <c r="AJ1423">
        <v>35.790216999999998</v>
      </c>
      <c r="AK1423" t="s">
        <v>788</v>
      </c>
      <c r="AL1423">
        <v>-84.041741000000002</v>
      </c>
      <c r="AM1423">
        <v>25</v>
      </c>
      <c r="AN1423">
        <v>1650</v>
      </c>
      <c r="AO1423" t="s">
        <v>118</v>
      </c>
      <c r="AP1423">
        <v>-93</v>
      </c>
      <c r="AQ1423">
        <v>117</v>
      </c>
      <c r="AR1423">
        <v>-512</v>
      </c>
      <c r="AZ1423">
        <v>300</v>
      </c>
      <c r="BA1423">
        <v>1</v>
      </c>
      <c r="BB1423" t="str">
        <f t="shared" si="71"/>
        <v xml:space="preserve">N162AM  </v>
      </c>
      <c r="BC1423">
        <v>1</v>
      </c>
      <c r="BE1423">
        <v>0</v>
      </c>
      <c r="BF1423">
        <v>0</v>
      </c>
      <c r="BG1423">
        <v>0</v>
      </c>
      <c r="BH1423">
        <v>1925</v>
      </c>
      <c r="BI1423">
        <v>1</v>
      </c>
      <c r="BJ1423">
        <v>1</v>
      </c>
      <c r="BK1423">
        <v>1</v>
      </c>
      <c r="BL1423">
        <v>0</v>
      </c>
      <c r="BO1423">
        <v>0</v>
      </c>
      <c r="BP1423">
        <v>0</v>
      </c>
      <c r="BW1423" t="str">
        <f>"14:50:42.799"</f>
        <v>14:50:42.799</v>
      </c>
      <c r="CJ1423">
        <v>3</v>
      </c>
      <c r="CK1423">
        <v>2</v>
      </c>
      <c r="CL1423">
        <v>0</v>
      </c>
      <c r="CM1423">
        <v>2</v>
      </c>
      <c r="CN1423">
        <v>0</v>
      </c>
      <c r="CO1423">
        <v>5</v>
      </c>
      <c r="CP1423" t="s">
        <v>119</v>
      </c>
      <c r="CQ1423">
        <v>216</v>
      </c>
      <c r="CR1423">
        <v>0</v>
      </c>
      <c r="CW1423">
        <v>948312</v>
      </c>
      <c r="CY1423">
        <v>1</v>
      </c>
      <c r="CZ1423">
        <v>0</v>
      </c>
      <c r="DA1423">
        <v>1</v>
      </c>
      <c r="DB1423">
        <v>0</v>
      </c>
      <c r="DC1423">
        <v>0</v>
      </c>
      <c r="DD1423">
        <v>1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>"12/16/2021 14:50:43.039"</f>
        <v>12/16/2021 14:50:43.039</v>
      </c>
      <c r="C1424" t="str">
        <f t="shared" si="70"/>
        <v>FFDFD3C0</v>
      </c>
      <c r="D1424" t="s">
        <v>124</v>
      </c>
      <c r="E1424">
        <v>5</v>
      </c>
      <c r="F1424">
        <v>1005</v>
      </c>
      <c r="G1424" t="s">
        <v>114</v>
      </c>
      <c r="J1424" t="s">
        <v>125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"14:50:42.797"</f>
        <v>14:50:42.797</v>
      </c>
      <c r="T1424" t="str">
        <f>"14:50:42.297"</f>
        <v>14:50:42.297</v>
      </c>
      <c r="U1424" t="str">
        <f t="shared" si="72"/>
        <v>A0F928</v>
      </c>
      <c r="V1424">
        <v>0</v>
      </c>
      <c r="W1424">
        <v>0</v>
      </c>
      <c r="X1424">
        <v>2</v>
      </c>
      <c r="Z1424">
        <v>0</v>
      </c>
      <c r="AA1424">
        <v>9</v>
      </c>
      <c r="AB1424">
        <v>3</v>
      </c>
      <c r="AC1424">
        <v>0</v>
      </c>
      <c r="AD1424">
        <v>10</v>
      </c>
      <c r="AE1424">
        <v>0</v>
      </c>
      <c r="AF1424">
        <v>3</v>
      </c>
      <c r="AG1424">
        <v>2</v>
      </c>
      <c r="AH1424">
        <v>1</v>
      </c>
      <c r="AI1424" t="s">
        <v>787</v>
      </c>
      <c r="AJ1424">
        <v>35.790216999999998</v>
      </c>
      <c r="AK1424" t="s">
        <v>788</v>
      </c>
      <c r="AL1424">
        <v>-84.041741000000002</v>
      </c>
      <c r="AM1424">
        <v>25</v>
      </c>
      <c r="AN1424">
        <v>1650</v>
      </c>
      <c r="AO1424" t="s">
        <v>118</v>
      </c>
      <c r="AP1424">
        <v>-93</v>
      </c>
      <c r="AQ1424">
        <v>117</v>
      </c>
      <c r="AR1424">
        <v>-512</v>
      </c>
      <c r="AZ1424">
        <v>300</v>
      </c>
      <c r="BA1424">
        <v>1</v>
      </c>
      <c r="BB1424" t="str">
        <f t="shared" si="71"/>
        <v xml:space="preserve">N162AM  </v>
      </c>
      <c r="BC1424">
        <v>1</v>
      </c>
      <c r="BE1424">
        <v>0</v>
      </c>
      <c r="BF1424">
        <v>0</v>
      </c>
      <c r="BG1424">
        <v>0</v>
      </c>
      <c r="BH1424">
        <v>1925</v>
      </c>
      <c r="BI1424">
        <v>1</v>
      </c>
      <c r="BJ1424">
        <v>1</v>
      </c>
      <c r="BK1424">
        <v>1</v>
      </c>
      <c r="BL1424">
        <v>0</v>
      </c>
      <c r="BO1424">
        <v>0</v>
      </c>
      <c r="BP1424">
        <v>0</v>
      </c>
      <c r="BW1424" t="str">
        <f>"14:50:42.799"</f>
        <v>14:50:42.799</v>
      </c>
      <c r="CJ1424">
        <v>3</v>
      </c>
      <c r="CK1424">
        <v>2</v>
      </c>
      <c r="CL1424">
        <v>0</v>
      </c>
      <c r="CM1424">
        <v>2</v>
      </c>
      <c r="CN1424">
        <v>0</v>
      </c>
      <c r="CO1424">
        <v>5</v>
      </c>
      <c r="CP1424" t="s">
        <v>119</v>
      </c>
      <c r="CQ1424">
        <v>216</v>
      </c>
      <c r="CR1424">
        <v>0</v>
      </c>
      <c r="CW1424">
        <v>948312</v>
      </c>
      <c r="CY1424">
        <v>1</v>
      </c>
      <c r="CZ1424">
        <v>0</v>
      </c>
      <c r="DA1424">
        <v>1</v>
      </c>
      <c r="DB1424">
        <v>0</v>
      </c>
      <c r="DC1424">
        <v>0</v>
      </c>
      <c r="DD1424">
        <v>1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>"12/16/2021 14:50:43.039"</f>
        <v>12/16/2021 14:50:43.039</v>
      </c>
      <c r="C1425" t="str">
        <f t="shared" si="70"/>
        <v>FFDFD3C0</v>
      </c>
      <c r="D1425" t="s">
        <v>124</v>
      </c>
      <c r="E1425">
        <v>10</v>
      </c>
      <c r="F1425">
        <v>1010</v>
      </c>
      <c r="G1425" t="s">
        <v>130</v>
      </c>
      <c r="J1425" t="s">
        <v>125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"14:50:42.797"</f>
        <v>14:50:42.797</v>
      </c>
      <c r="T1425" t="str">
        <f>"14:50:42.297"</f>
        <v>14:50:42.297</v>
      </c>
      <c r="U1425" t="str">
        <f t="shared" si="72"/>
        <v>A0F928</v>
      </c>
      <c r="V1425">
        <v>0</v>
      </c>
      <c r="W1425">
        <v>0</v>
      </c>
      <c r="X1425">
        <v>2</v>
      </c>
      <c r="Z1425">
        <v>0</v>
      </c>
      <c r="AA1425">
        <v>9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2</v>
      </c>
      <c r="AH1425">
        <v>1</v>
      </c>
      <c r="AI1425" t="s">
        <v>787</v>
      </c>
      <c r="AJ1425">
        <v>35.790216999999998</v>
      </c>
      <c r="AK1425" t="s">
        <v>788</v>
      </c>
      <c r="AL1425">
        <v>-84.041741000000002</v>
      </c>
      <c r="AM1425">
        <v>25</v>
      </c>
      <c r="AN1425">
        <v>1650</v>
      </c>
      <c r="AO1425" t="s">
        <v>118</v>
      </c>
      <c r="AP1425">
        <v>-93</v>
      </c>
      <c r="AQ1425">
        <v>117</v>
      </c>
      <c r="AR1425">
        <v>-512</v>
      </c>
      <c r="AZ1425">
        <v>300</v>
      </c>
      <c r="BA1425">
        <v>1</v>
      </c>
      <c r="BB1425" t="str">
        <f t="shared" si="71"/>
        <v xml:space="preserve">N162AM  </v>
      </c>
      <c r="BC1425">
        <v>1</v>
      </c>
      <c r="BE1425">
        <v>0</v>
      </c>
      <c r="BF1425">
        <v>0</v>
      </c>
      <c r="BG1425">
        <v>0</v>
      </c>
      <c r="BH1425">
        <v>1925</v>
      </c>
      <c r="BI1425">
        <v>1</v>
      </c>
      <c r="BJ1425">
        <v>1</v>
      </c>
      <c r="BK1425">
        <v>1</v>
      </c>
      <c r="BL1425">
        <v>0</v>
      </c>
      <c r="BO1425">
        <v>0</v>
      </c>
      <c r="BP1425">
        <v>0</v>
      </c>
      <c r="BW1425" t="str">
        <f>"14:50:42.799"</f>
        <v>14:50:42.799</v>
      </c>
      <c r="CJ1425">
        <v>3</v>
      </c>
      <c r="CK1425">
        <v>2</v>
      </c>
      <c r="CL1425">
        <v>0</v>
      </c>
      <c r="CM1425">
        <v>2</v>
      </c>
      <c r="CN1425">
        <v>0</v>
      </c>
      <c r="CO1425">
        <v>5</v>
      </c>
      <c r="CP1425" t="s">
        <v>119</v>
      </c>
      <c r="CQ1425">
        <v>216</v>
      </c>
      <c r="CR1425">
        <v>0</v>
      </c>
      <c r="CW1425">
        <v>948312</v>
      </c>
      <c r="CY1425">
        <v>1</v>
      </c>
      <c r="CZ1425">
        <v>0</v>
      </c>
      <c r="DA1425">
        <v>1</v>
      </c>
      <c r="DB1425">
        <v>0</v>
      </c>
      <c r="DC1425">
        <v>0</v>
      </c>
      <c r="DD1425">
        <v>1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>"12/16/2021 14:50:44.086"</f>
        <v>12/16/2021 14:50:44.086</v>
      </c>
      <c r="C1426" t="str">
        <f t="shared" si="70"/>
        <v>FFDFD3C0</v>
      </c>
      <c r="D1426" t="s">
        <v>113</v>
      </c>
      <c r="E1426">
        <v>8</v>
      </c>
      <c r="H1426">
        <v>176</v>
      </c>
      <c r="I1426" t="s">
        <v>114</v>
      </c>
      <c r="J1426" t="s">
        <v>115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"14:50:43.867"</f>
        <v>14:50:43.867</v>
      </c>
      <c r="T1426" t="str">
        <f>"14:50:43.367"</f>
        <v>14:50:43.367</v>
      </c>
      <c r="U1426" t="str">
        <f t="shared" si="72"/>
        <v>A0F928</v>
      </c>
      <c r="V1426">
        <v>0</v>
      </c>
      <c r="W1426">
        <v>0</v>
      </c>
      <c r="X1426">
        <v>2</v>
      </c>
      <c r="Z1426">
        <v>0</v>
      </c>
      <c r="AA1426">
        <v>9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2</v>
      </c>
      <c r="AH1426">
        <v>1</v>
      </c>
      <c r="AI1426" t="s">
        <v>720</v>
      </c>
      <c r="AJ1426">
        <v>35.790796</v>
      </c>
      <c r="AK1426" t="s">
        <v>789</v>
      </c>
      <c r="AL1426">
        <v>-84.042320000000004</v>
      </c>
      <c r="AM1426">
        <v>25</v>
      </c>
      <c r="AN1426">
        <v>1625</v>
      </c>
      <c r="AO1426" t="s">
        <v>118</v>
      </c>
      <c r="AP1426">
        <v>-86</v>
      </c>
      <c r="AQ1426">
        <v>122</v>
      </c>
      <c r="AR1426">
        <v>-576</v>
      </c>
      <c r="AZ1426">
        <v>300</v>
      </c>
      <c r="BA1426">
        <v>1</v>
      </c>
      <c r="BB1426" t="str">
        <f t="shared" si="71"/>
        <v xml:space="preserve">N162AM  </v>
      </c>
      <c r="BC1426">
        <v>1</v>
      </c>
      <c r="BE1426">
        <v>0</v>
      </c>
      <c r="BF1426">
        <v>0</v>
      </c>
      <c r="BG1426">
        <v>0</v>
      </c>
      <c r="BH1426">
        <v>1900</v>
      </c>
      <c r="BI1426">
        <v>1</v>
      </c>
      <c r="BJ1426">
        <v>1</v>
      </c>
      <c r="BK1426">
        <v>1</v>
      </c>
      <c r="BL1426">
        <v>0</v>
      </c>
      <c r="BO1426">
        <v>0</v>
      </c>
      <c r="BP1426">
        <v>0</v>
      </c>
      <c r="BW1426" t="str">
        <f>"14:50:43.872"</f>
        <v>14:50:43.872</v>
      </c>
      <c r="CJ1426">
        <v>3</v>
      </c>
      <c r="CK1426">
        <v>2</v>
      </c>
      <c r="CL1426">
        <v>0</v>
      </c>
      <c r="CM1426">
        <v>2</v>
      </c>
      <c r="CN1426">
        <v>0</v>
      </c>
      <c r="CO1426">
        <v>6</v>
      </c>
      <c r="CP1426" t="s">
        <v>119</v>
      </c>
      <c r="CQ1426">
        <v>232</v>
      </c>
      <c r="CR1426">
        <v>2</v>
      </c>
      <c r="CW1426">
        <v>6769331</v>
      </c>
      <c r="CY1426">
        <v>1</v>
      </c>
      <c r="CZ1426">
        <v>0</v>
      </c>
      <c r="DA1426">
        <v>0</v>
      </c>
      <c r="DB1426">
        <v>0</v>
      </c>
      <c r="DC1426">
        <v>0</v>
      </c>
      <c r="DD1426">
        <v>1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"12/16/2021 14:50:44.101"</f>
        <v>12/16/2021 14:50:44.101</v>
      </c>
      <c r="C1427" t="str">
        <f t="shared" si="70"/>
        <v>FFDFD3C0</v>
      </c>
      <c r="D1427" t="s">
        <v>133</v>
      </c>
      <c r="E1427">
        <v>44</v>
      </c>
      <c r="H1427">
        <v>131</v>
      </c>
      <c r="I1427" t="s">
        <v>134</v>
      </c>
      <c r="J1427" t="s">
        <v>135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"14:50:43.867"</f>
        <v>14:50:43.867</v>
      </c>
      <c r="T1427" t="str">
        <f>"14:50:43.367"</f>
        <v>14:50:43.367</v>
      </c>
      <c r="U1427" t="str">
        <f t="shared" si="72"/>
        <v>A0F928</v>
      </c>
      <c r="V1427">
        <v>0</v>
      </c>
      <c r="W1427">
        <v>0</v>
      </c>
      <c r="X1427">
        <v>2</v>
      </c>
      <c r="Z1427">
        <v>0</v>
      </c>
      <c r="AA1427">
        <v>9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2</v>
      </c>
      <c r="AH1427">
        <v>1</v>
      </c>
      <c r="AI1427" t="s">
        <v>720</v>
      </c>
      <c r="AJ1427">
        <v>35.790796</v>
      </c>
      <c r="AK1427" t="s">
        <v>789</v>
      </c>
      <c r="AL1427">
        <v>-84.042320000000004</v>
      </c>
      <c r="AM1427">
        <v>25</v>
      </c>
      <c r="AN1427">
        <v>1625</v>
      </c>
      <c r="AO1427" t="s">
        <v>118</v>
      </c>
      <c r="AP1427">
        <v>-86</v>
      </c>
      <c r="AQ1427">
        <v>122</v>
      </c>
      <c r="AR1427">
        <v>-576</v>
      </c>
      <c r="AZ1427">
        <v>300</v>
      </c>
      <c r="BA1427">
        <v>1</v>
      </c>
      <c r="BB1427" t="str">
        <f t="shared" si="71"/>
        <v xml:space="preserve">N162AM  </v>
      </c>
      <c r="BC1427">
        <v>1</v>
      </c>
      <c r="BE1427">
        <v>0</v>
      </c>
      <c r="BF1427">
        <v>0</v>
      </c>
      <c r="BG1427">
        <v>0</v>
      </c>
      <c r="BH1427">
        <v>1900</v>
      </c>
      <c r="BI1427">
        <v>1</v>
      </c>
      <c r="BJ1427">
        <v>1</v>
      </c>
      <c r="BK1427">
        <v>1</v>
      </c>
      <c r="BL1427">
        <v>0</v>
      </c>
      <c r="BO1427">
        <v>0</v>
      </c>
      <c r="BP1427">
        <v>0</v>
      </c>
      <c r="BW1427" t="str">
        <f>"14:50:43.872"</f>
        <v>14:50:43.872</v>
      </c>
      <c r="CJ1427">
        <v>3</v>
      </c>
      <c r="CK1427">
        <v>2</v>
      </c>
      <c r="CL1427">
        <v>0</v>
      </c>
      <c r="CM1427">
        <v>2</v>
      </c>
      <c r="CN1427">
        <v>0</v>
      </c>
      <c r="CO1427">
        <v>6</v>
      </c>
      <c r="CP1427" t="s">
        <v>119</v>
      </c>
      <c r="CQ1427">
        <v>232</v>
      </c>
      <c r="CR1427">
        <v>2</v>
      </c>
      <c r="CW1427">
        <v>6769331</v>
      </c>
      <c r="CY1427">
        <v>1</v>
      </c>
      <c r="CZ1427">
        <v>0</v>
      </c>
      <c r="DA1427">
        <v>1</v>
      </c>
      <c r="DB1427">
        <v>0</v>
      </c>
      <c r="DC1427">
        <v>0</v>
      </c>
      <c r="DD1427">
        <v>1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"12/16/2021 14:50:44.148"</f>
        <v>12/16/2021 14:50:44.148</v>
      </c>
      <c r="C1428" t="str">
        <f t="shared" si="70"/>
        <v>FFDFD3C0</v>
      </c>
      <c r="D1428" t="s">
        <v>124</v>
      </c>
      <c r="E1428">
        <v>10</v>
      </c>
      <c r="F1428">
        <v>1010</v>
      </c>
      <c r="G1428" t="s">
        <v>130</v>
      </c>
      <c r="J1428" t="s">
        <v>125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"14:50:43.867"</f>
        <v>14:50:43.867</v>
      </c>
      <c r="T1428" t="str">
        <f>"14:50:43.367"</f>
        <v>14:50:43.367</v>
      </c>
      <c r="U1428" t="str">
        <f t="shared" si="72"/>
        <v>A0F928</v>
      </c>
      <c r="V1428">
        <v>0</v>
      </c>
      <c r="W1428">
        <v>0</v>
      </c>
      <c r="X1428">
        <v>2</v>
      </c>
      <c r="Z1428">
        <v>0</v>
      </c>
      <c r="AA1428">
        <v>9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2</v>
      </c>
      <c r="AH1428">
        <v>1</v>
      </c>
      <c r="AI1428" t="s">
        <v>720</v>
      </c>
      <c r="AJ1428">
        <v>35.790796</v>
      </c>
      <c r="AK1428" t="s">
        <v>789</v>
      </c>
      <c r="AL1428">
        <v>-84.042320000000004</v>
      </c>
      <c r="AM1428">
        <v>25</v>
      </c>
      <c r="AN1428">
        <v>1625</v>
      </c>
      <c r="AO1428" t="s">
        <v>118</v>
      </c>
      <c r="AP1428">
        <v>-86</v>
      </c>
      <c r="AQ1428">
        <v>122</v>
      </c>
      <c r="AR1428">
        <v>-576</v>
      </c>
      <c r="AZ1428">
        <v>300</v>
      </c>
      <c r="BA1428">
        <v>1</v>
      </c>
      <c r="BB1428" t="str">
        <f t="shared" si="71"/>
        <v xml:space="preserve">N162AM  </v>
      </c>
      <c r="BC1428">
        <v>1</v>
      </c>
      <c r="BE1428">
        <v>0</v>
      </c>
      <c r="BF1428">
        <v>0</v>
      </c>
      <c r="BG1428">
        <v>0</v>
      </c>
      <c r="BH1428">
        <v>1900</v>
      </c>
      <c r="BI1428">
        <v>1</v>
      </c>
      <c r="BJ1428">
        <v>1</v>
      </c>
      <c r="BK1428">
        <v>1</v>
      </c>
      <c r="BL1428">
        <v>0</v>
      </c>
      <c r="BO1428">
        <v>0</v>
      </c>
      <c r="BP1428">
        <v>0</v>
      </c>
      <c r="BW1428" t="str">
        <f>"14:50:43.872"</f>
        <v>14:50:43.872</v>
      </c>
      <c r="CJ1428">
        <v>3</v>
      </c>
      <c r="CK1428">
        <v>2</v>
      </c>
      <c r="CL1428">
        <v>0</v>
      </c>
      <c r="CM1428">
        <v>2</v>
      </c>
      <c r="CN1428">
        <v>0</v>
      </c>
      <c r="CO1428">
        <v>6</v>
      </c>
      <c r="CP1428" t="s">
        <v>119</v>
      </c>
      <c r="CQ1428">
        <v>232</v>
      </c>
      <c r="CR1428">
        <v>2</v>
      </c>
      <c r="CW1428">
        <v>6769331</v>
      </c>
      <c r="CY1428">
        <v>1</v>
      </c>
      <c r="CZ1428">
        <v>0</v>
      </c>
      <c r="DA1428">
        <v>1</v>
      </c>
      <c r="DB1428">
        <v>0</v>
      </c>
      <c r="DC1428">
        <v>0</v>
      </c>
      <c r="DD1428">
        <v>1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"12/16/2021 14:50:44.148"</f>
        <v>12/16/2021 14:50:44.148</v>
      </c>
      <c r="C1429" t="str">
        <f t="shared" si="70"/>
        <v>FFDFD3C0</v>
      </c>
      <c r="D1429" t="s">
        <v>124</v>
      </c>
      <c r="E1429">
        <v>5</v>
      </c>
      <c r="F1429">
        <v>1005</v>
      </c>
      <c r="G1429" t="s">
        <v>114</v>
      </c>
      <c r="J1429" t="s">
        <v>125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"14:50:43.867"</f>
        <v>14:50:43.867</v>
      </c>
      <c r="T1429" t="str">
        <f>"14:50:43.367"</f>
        <v>14:50:43.367</v>
      </c>
      <c r="U1429" t="str">
        <f t="shared" si="72"/>
        <v>A0F928</v>
      </c>
      <c r="V1429">
        <v>0</v>
      </c>
      <c r="W1429">
        <v>0</v>
      </c>
      <c r="X1429">
        <v>2</v>
      </c>
      <c r="Z1429">
        <v>0</v>
      </c>
      <c r="AA1429">
        <v>9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2</v>
      </c>
      <c r="AH1429">
        <v>1</v>
      </c>
      <c r="AI1429" t="s">
        <v>720</v>
      </c>
      <c r="AJ1429">
        <v>35.790796</v>
      </c>
      <c r="AK1429" t="s">
        <v>789</v>
      </c>
      <c r="AL1429">
        <v>-84.042320000000004</v>
      </c>
      <c r="AM1429">
        <v>25</v>
      </c>
      <c r="AN1429">
        <v>1625</v>
      </c>
      <c r="AO1429" t="s">
        <v>118</v>
      </c>
      <c r="AP1429">
        <v>-86</v>
      </c>
      <c r="AQ1429">
        <v>122</v>
      </c>
      <c r="AR1429">
        <v>-576</v>
      </c>
      <c r="AZ1429">
        <v>300</v>
      </c>
      <c r="BA1429">
        <v>1</v>
      </c>
      <c r="BB1429" t="str">
        <f t="shared" si="71"/>
        <v xml:space="preserve">N162AM  </v>
      </c>
      <c r="BC1429">
        <v>1</v>
      </c>
      <c r="BE1429">
        <v>0</v>
      </c>
      <c r="BF1429">
        <v>0</v>
      </c>
      <c r="BG1429">
        <v>0</v>
      </c>
      <c r="BH1429">
        <v>1900</v>
      </c>
      <c r="BI1429">
        <v>1</v>
      </c>
      <c r="BJ1429">
        <v>1</v>
      </c>
      <c r="BK1429">
        <v>1</v>
      </c>
      <c r="BL1429">
        <v>0</v>
      </c>
      <c r="BO1429">
        <v>0</v>
      </c>
      <c r="BP1429">
        <v>0</v>
      </c>
      <c r="BW1429" t="str">
        <f>"14:50:43.872"</f>
        <v>14:50:43.872</v>
      </c>
      <c r="CJ1429">
        <v>3</v>
      </c>
      <c r="CK1429">
        <v>2</v>
      </c>
      <c r="CL1429">
        <v>0</v>
      </c>
      <c r="CM1429">
        <v>2</v>
      </c>
      <c r="CN1429">
        <v>0</v>
      </c>
      <c r="CO1429">
        <v>6</v>
      </c>
      <c r="CP1429" t="s">
        <v>119</v>
      </c>
      <c r="CQ1429">
        <v>232</v>
      </c>
      <c r="CR1429">
        <v>2</v>
      </c>
      <c r="CW1429">
        <v>6769331</v>
      </c>
      <c r="CY1429">
        <v>1</v>
      </c>
      <c r="CZ1429">
        <v>0</v>
      </c>
      <c r="DA1429">
        <v>1</v>
      </c>
      <c r="DB1429">
        <v>0</v>
      </c>
      <c r="DC1429">
        <v>0</v>
      </c>
      <c r="DD1429">
        <v>1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"12/16/2021 14:50:45.023"</f>
        <v>12/16/2021 14:50:45.023</v>
      </c>
      <c r="C1430" t="str">
        <f t="shared" si="70"/>
        <v>FFDFD3C0</v>
      </c>
      <c r="D1430" t="s">
        <v>124</v>
      </c>
      <c r="E1430">
        <v>5</v>
      </c>
      <c r="F1430">
        <v>1005</v>
      </c>
      <c r="G1430" t="s">
        <v>114</v>
      </c>
      <c r="J1430" t="s">
        <v>125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"14:50:44.813"</f>
        <v>14:50:44.813</v>
      </c>
      <c r="T1430" t="str">
        <f>"14:50:44.313"</f>
        <v>14:50:44.313</v>
      </c>
      <c r="U1430" t="str">
        <f t="shared" si="72"/>
        <v>A0F928</v>
      </c>
      <c r="V1430">
        <v>0</v>
      </c>
      <c r="W1430">
        <v>0</v>
      </c>
      <c r="X1430">
        <v>2</v>
      </c>
      <c r="Z1430">
        <v>0</v>
      </c>
      <c r="AA1430">
        <v>9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2</v>
      </c>
      <c r="AH1430">
        <v>1</v>
      </c>
      <c r="AI1430" t="s">
        <v>790</v>
      </c>
      <c r="AJ1430">
        <v>35.791353999999998</v>
      </c>
      <c r="AK1430" t="s">
        <v>791</v>
      </c>
      <c r="AL1430">
        <v>-84.042664000000002</v>
      </c>
      <c r="AM1430">
        <v>25</v>
      </c>
      <c r="AN1430">
        <v>1625</v>
      </c>
      <c r="AO1430" t="s">
        <v>118</v>
      </c>
      <c r="AP1430">
        <v>-80</v>
      </c>
      <c r="AQ1430">
        <v>126</v>
      </c>
      <c r="AR1430">
        <v>-576</v>
      </c>
      <c r="AZ1430">
        <v>300</v>
      </c>
      <c r="BA1430">
        <v>1</v>
      </c>
      <c r="BB1430" t="str">
        <f t="shared" si="71"/>
        <v xml:space="preserve">N162AM  </v>
      </c>
      <c r="BC1430">
        <v>1</v>
      </c>
      <c r="BE1430">
        <v>0</v>
      </c>
      <c r="BF1430">
        <v>0</v>
      </c>
      <c r="BG1430">
        <v>0</v>
      </c>
      <c r="BH1430">
        <v>1900</v>
      </c>
      <c r="BI1430">
        <v>1</v>
      </c>
      <c r="BJ1430">
        <v>1</v>
      </c>
      <c r="BK1430">
        <v>1</v>
      </c>
      <c r="BL1430">
        <v>0</v>
      </c>
      <c r="BO1430">
        <v>0</v>
      </c>
      <c r="BP1430">
        <v>0</v>
      </c>
      <c r="BW1430" t="str">
        <f>"14:50:44.819"</f>
        <v>14:50:44.819</v>
      </c>
      <c r="CJ1430">
        <v>3</v>
      </c>
      <c r="CK1430">
        <v>2</v>
      </c>
      <c r="CL1430">
        <v>0</v>
      </c>
      <c r="CM1430">
        <v>2</v>
      </c>
      <c r="CN1430">
        <v>0</v>
      </c>
      <c r="CO1430">
        <v>6</v>
      </c>
      <c r="CP1430" t="s">
        <v>119</v>
      </c>
      <c r="CQ1430">
        <v>232</v>
      </c>
      <c r="CR1430">
        <v>1</v>
      </c>
      <c r="CW1430">
        <v>15569051</v>
      </c>
      <c r="CY1430">
        <v>1</v>
      </c>
      <c r="CZ1430">
        <v>0</v>
      </c>
      <c r="DA1430">
        <v>0</v>
      </c>
      <c r="DB1430">
        <v>0</v>
      </c>
      <c r="DC1430">
        <v>0</v>
      </c>
      <c r="DD1430">
        <v>1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"12/16/2021 14:50:45.054"</f>
        <v>12/16/2021 14:50:45.054</v>
      </c>
      <c r="C1431" t="str">
        <f t="shared" si="70"/>
        <v>FFDFD3C0</v>
      </c>
      <c r="D1431" t="s">
        <v>113</v>
      </c>
      <c r="E1431">
        <v>8</v>
      </c>
      <c r="H1431">
        <v>176</v>
      </c>
      <c r="I1431" t="s">
        <v>114</v>
      </c>
      <c r="J1431" t="s">
        <v>115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"14:50:44.813"</f>
        <v>14:50:44.813</v>
      </c>
      <c r="T1431" t="str">
        <f>"14:50:44.313"</f>
        <v>14:50:44.313</v>
      </c>
      <c r="U1431" t="str">
        <f t="shared" si="72"/>
        <v>A0F928</v>
      </c>
      <c r="V1431">
        <v>0</v>
      </c>
      <c r="W1431">
        <v>0</v>
      </c>
      <c r="X1431">
        <v>2</v>
      </c>
      <c r="Z1431">
        <v>0</v>
      </c>
      <c r="AA1431">
        <v>9</v>
      </c>
      <c r="AB1431">
        <v>3</v>
      </c>
      <c r="AC1431">
        <v>0</v>
      </c>
      <c r="AD1431">
        <v>10</v>
      </c>
      <c r="AE1431">
        <v>0</v>
      </c>
      <c r="AF1431">
        <v>3</v>
      </c>
      <c r="AG1431">
        <v>2</v>
      </c>
      <c r="AH1431">
        <v>1</v>
      </c>
      <c r="AI1431" t="s">
        <v>790</v>
      </c>
      <c r="AJ1431">
        <v>35.791353999999998</v>
      </c>
      <c r="AK1431" t="s">
        <v>791</v>
      </c>
      <c r="AL1431">
        <v>-84.042664000000002</v>
      </c>
      <c r="AM1431">
        <v>25</v>
      </c>
      <c r="AN1431">
        <v>1625</v>
      </c>
      <c r="AO1431" t="s">
        <v>118</v>
      </c>
      <c r="AP1431">
        <v>-80</v>
      </c>
      <c r="AQ1431">
        <v>126</v>
      </c>
      <c r="AR1431">
        <v>-576</v>
      </c>
      <c r="AZ1431">
        <v>300</v>
      </c>
      <c r="BA1431">
        <v>1</v>
      </c>
      <c r="BB1431" t="str">
        <f t="shared" si="71"/>
        <v xml:space="preserve">N162AM  </v>
      </c>
      <c r="BC1431">
        <v>1</v>
      </c>
      <c r="BE1431">
        <v>0</v>
      </c>
      <c r="BF1431">
        <v>0</v>
      </c>
      <c r="BG1431">
        <v>0</v>
      </c>
      <c r="BH1431">
        <v>1900</v>
      </c>
      <c r="BI1431">
        <v>1</v>
      </c>
      <c r="BJ1431">
        <v>1</v>
      </c>
      <c r="BK1431">
        <v>1</v>
      </c>
      <c r="BL1431">
        <v>0</v>
      </c>
      <c r="BO1431">
        <v>0</v>
      </c>
      <c r="BP1431">
        <v>0</v>
      </c>
      <c r="BW1431" t="str">
        <f>"14:50:44.819"</f>
        <v>14:50:44.819</v>
      </c>
      <c r="CJ1431">
        <v>3</v>
      </c>
      <c r="CK1431">
        <v>2</v>
      </c>
      <c r="CL1431">
        <v>0</v>
      </c>
      <c r="CM1431">
        <v>2</v>
      </c>
      <c r="CN1431">
        <v>0</v>
      </c>
      <c r="CO1431">
        <v>6</v>
      </c>
      <c r="CP1431" t="s">
        <v>119</v>
      </c>
      <c r="CQ1431">
        <v>232</v>
      </c>
      <c r="CR1431">
        <v>1</v>
      </c>
      <c r="CW1431">
        <v>15569051</v>
      </c>
      <c r="CY1431">
        <v>1</v>
      </c>
      <c r="CZ1431">
        <v>0</v>
      </c>
      <c r="DA1431">
        <v>1</v>
      </c>
      <c r="DB1431">
        <v>0</v>
      </c>
      <c r="DC1431">
        <v>0</v>
      </c>
      <c r="DD1431">
        <v>1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"12/16/2021 14:50:45.070"</f>
        <v>12/16/2021 14:50:45.070</v>
      </c>
      <c r="C1432" t="str">
        <f t="shared" si="70"/>
        <v>FFDFD3C0</v>
      </c>
      <c r="D1432" t="s">
        <v>124</v>
      </c>
      <c r="E1432">
        <v>10</v>
      </c>
      <c r="F1432">
        <v>1010</v>
      </c>
      <c r="G1432" t="s">
        <v>130</v>
      </c>
      <c r="J1432" t="s">
        <v>125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"14:50:44.813"</f>
        <v>14:50:44.813</v>
      </c>
      <c r="T1432" t="str">
        <f>"14:50:44.313"</f>
        <v>14:50:44.313</v>
      </c>
      <c r="U1432" t="str">
        <f t="shared" si="72"/>
        <v>A0F928</v>
      </c>
      <c r="V1432">
        <v>0</v>
      </c>
      <c r="W1432">
        <v>0</v>
      </c>
      <c r="X1432">
        <v>2</v>
      </c>
      <c r="Z1432">
        <v>0</v>
      </c>
      <c r="AA1432">
        <v>9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2</v>
      </c>
      <c r="AH1432">
        <v>1</v>
      </c>
      <c r="AI1432" t="s">
        <v>790</v>
      </c>
      <c r="AJ1432">
        <v>35.791353999999998</v>
      </c>
      <c r="AK1432" t="s">
        <v>791</v>
      </c>
      <c r="AL1432">
        <v>-84.042664000000002</v>
      </c>
      <c r="AM1432">
        <v>25</v>
      </c>
      <c r="AN1432">
        <v>1625</v>
      </c>
      <c r="AO1432" t="s">
        <v>118</v>
      </c>
      <c r="AP1432">
        <v>-80</v>
      </c>
      <c r="AQ1432">
        <v>126</v>
      </c>
      <c r="AR1432">
        <v>-576</v>
      </c>
      <c r="AZ1432">
        <v>300</v>
      </c>
      <c r="BA1432">
        <v>1</v>
      </c>
      <c r="BB1432" t="str">
        <f t="shared" si="71"/>
        <v xml:space="preserve">N162AM  </v>
      </c>
      <c r="BC1432">
        <v>1</v>
      </c>
      <c r="BE1432">
        <v>0</v>
      </c>
      <c r="BF1432">
        <v>0</v>
      </c>
      <c r="BG1432">
        <v>0</v>
      </c>
      <c r="BH1432">
        <v>1900</v>
      </c>
      <c r="BI1432">
        <v>1</v>
      </c>
      <c r="BJ1432">
        <v>1</v>
      </c>
      <c r="BK1432">
        <v>1</v>
      </c>
      <c r="BL1432">
        <v>0</v>
      </c>
      <c r="BO1432">
        <v>0</v>
      </c>
      <c r="BP1432">
        <v>0</v>
      </c>
      <c r="BW1432" t="str">
        <f>"14:50:44.819"</f>
        <v>14:50:44.819</v>
      </c>
      <c r="CJ1432">
        <v>3</v>
      </c>
      <c r="CK1432">
        <v>2</v>
      </c>
      <c r="CL1432">
        <v>0</v>
      </c>
      <c r="CM1432">
        <v>2</v>
      </c>
      <c r="CN1432">
        <v>0</v>
      </c>
      <c r="CO1432">
        <v>6</v>
      </c>
      <c r="CP1432" t="s">
        <v>119</v>
      </c>
      <c r="CQ1432">
        <v>232</v>
      </c>
      <c r="CR1432">
        <v>1</v>
      </c>
      <c r="CW1432">
        <v>15569051</v>
      </c>
      <c r="CY1432">
        <v>1</v>
      </c>
      <c r="CZ1432">
        <v>0</v>
      </c>
      <c r="DA1432">
        <v>1</v>
      </c>
      <c r="DB1432">
        <v>0</v>
      </c>
      <c r="DC1432">
        <v>0</v>
      </c>
      <c r="DD1432">
        <v>1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>"12/16/2021 14:50:45.070"</f>
        <v>12/16/2021 14:50:45.070</v>
      </c>
      <c r="C1433" t="str">
        <f t="shared" si="70"/>
        <v>FFDFD3C0</v>
      </c>
      <c r="D1433" t="s">
        <v>133</v>
      </c>
      <c r="E1433">
        <v>44</v>
      </c>
      <c r="H1433">
        <v>131</v>
      </c>
      <c r="I1433" t="s">
        <v>134</v>
      </c>
      <c r="J1433" t="s">
        <v>135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"14:50:44.813"</f>
        <v>14:50:44.813</v>
      </c>
      <c r="T1433" t="str">
        <f>"14:50:44.313"</f>
        <v>14:50:44.313</v>
      </c>
      <c r="U1433" t="str">
        <f t="shared" si="72"/>
        <v>A0F928</v>
      </c>
      <c r="V1433">
        <v>0</v>
      </c>
      <c r="W1433">
        <v>0</v>
      </c>
      <c r="X1433">
        <v>2</v>
      </c>
      <c r="Z1433">
        <v>0</v>
      </c>
      <c r="AA1433">
        <v>9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2</v>
      </c>
      <c r="AH1433">
        <v>1</v>
      </c>
      <c r="AI1433" t="s">
        <v>790</v>
      </c>
      <c r="AJ1433">
        <v>35.791353999999998</v>
      </c>
      <c r="AK1433" t="s">
        <v>791</v>
      </c>
      <c r="AL1433">
        <v>-84.042664000000002</v>
      </c>
      <c r="AM1433">
        <v>25</v>
      </c>
      <c r="AN1433">
        <v>1625</v>
      </c>
      <c r="AO1433" t="s">
        <v>118</v>
      </c>
      <c r="AP1433">
        <v>-80</v>
      </c>
      <c r="AQ1433">
        <v>126</v>
      </c>
      <c r="AR1433">
        <v>-576</v>
      </c>
      <c r="AZ1433">
        <v>300</v>
      </c>
      <c r="BA1433">
        <v>1</v>
      </c>
      <c r="BB1433" t="str">
        <f t="shared" si="71"/>
        <v xml:space="preserve">N162AM  </v>
      </c>
      <c r="BC1433">
        <v>1</v>
      </c>
      <c r="BE1433">
        <v>0</v>
      </c>
      <c r="BF1433">
        <v>0</v>
      </c>
      <c r="BG1433">
        <v>0</v>
      </c>
      <c r="BH1433">
        <v>1900</v>
      </c>
      <c r="BI1433">
        <v>1</v>
      </c>
      <c r="BJ1433">
        <v>1</v>
      </c>
      <c r="BK1433">
        <v>1</v>
      </c>
      <c r="BL1433">
        <v>0</v>
      </c>
      <c r="BO1433">
        <v>0</v>
      </c>
      <c r="BP1433">
        <v>0</v>
      </c>
      <c r="BW1433" t="str">
        <f>"14:50:44.819"</f>
        <v>14:50:44.819</v>
      </c>
      <c r="CJ1433">
        <v>3</v>
      </c>
      <c r="CK1433">
        <v>2</v>
      </c>
      <c r="CL1433">
        <v>0</v>
      </c>
      <c r="CM1433">
        <v>2</v>
      </c>
      <c r="CN1433">
        <v>0</v>
      </c>
      <c r="CO1433">
        <v>6</v>
      </c>
      <c r="CP1433" t="s">
        <v>119</v>
      </c>
      <c r="CQ1433">
        <v>232</v>
      </c>
      <c r="CR1433">
        <v>1</v>
      </c>
      <c r="CW1433">
        <v>15569051</v>
      </c>
      <c r="CY1433">
        <v>1</v>
      </c>
      <c r="CZ1433">
        <v>0</v>
      </c>
      <c r="DA1433">
        <v>1</v>
      </c>
      <c r="DB1433">
        <v>0</v>
      </c>
      <c r="DC1433">
        <v>0</v>
      </c>
      <c r="DD1433">
        <v>1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>"12/16/2021 14:50:46.023"</f>
        <v>12/16/2021 14:50:46.023</v>
      </c>
      <c r="C1434" t="str">
        <f t="shared" si="70"/>
        <v>FFDFD3C0</v>
      </c>
      <c r="D1434" t="s">
        <v>133</v>
      </c>
      <c r="E1434">
        <v>44</v>
      </c>
      <c r="H1434">
        <v>131</v>
      </c>
      <c r="I1434" t="s">
        <v>134</v>
      </c>
      <c r="J1434" t="s">
        <v>135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"14:50:45.813"</f>
        <v>14:50:45.813</v>
      </c>
      <c r="T1434" t="str">
        <f>"14:50:45.313"</f>
        <v>14:50:45.313</v>
      </c>
      <c r="U1434" t="str">
        <f t="shared" si="72"/>
        <v>A0F928</v>
      </c>
      <c r="V1434">
        <v>0</v>
      </c>
      <c r="W1434">
        <v>0</v>
      </c>
      <c r="X1434">
        <v>2</v>
      </c>
      <c r="Z1434">
        <v>0</v>
      </c>
      <c r="AA1434">
        <v>9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2</v>
      </c>
      <c r="AH1434">
        <v>1</v>
      </c>
      <c r="AI1434" t="s">
        <v>792</v>
      </c>
      <c r="AJ1434">
        <v>35.791955000000002</v>
      </c>
      <c r="AK1434" t="s">
        <v>793</v>
      </c>
      <c r="AL1434">
        <v>-84.043114000000003</v>
      </c>
      <c r="AM1434">
        <v>25</v>
      </c>
      <c r="AN1434">
        <v>1600</v>
      </c>
      <c r="AO1434" t="s">
        <v>118</v>
      </c>
      <c r="AP1434">
        <v>-75</v>
      </c>
      <c r="AQ1434">
        <v>129</v>
      </c>
      <c r="AR1434">
        <v>-576</v>
      </c>
      <c r="AZ1434">
        <v>300</v>
      </c>
      <c r="BA1434">
        <v>1</v>
      </c>
      <c r="BB1434" t="str">
        <f t="shared" si="71"/>
        <v xml:space="preserve">N162AM  </v>
      </c>
      <c r="BC1434">
        <v>1</v>
      </c>
      <c r="BE1434">
        <v>0</v>
      </c>
      <c r="BF1434">
        <v>0</v>
      </c>
      <c r="BG1434">
        <v>0</v>
      </c>
      <c r="BH1434">
        <v>1875</v>
      </c>
      <c r="BI1434">
        <v>1</v>
      </c>
      <c r="BJ1434">
        <v>1</v>
      </c>
      <c r="BK1434">
        <v>1</v>
      </c>
      <c r="BL1434">
        <v>0</v>
      </c>
      <c r="BO1434">
        <v>0</v>
      </c>
      <c r="BP1434">
        <v>0</v>
      </c>
      <c r="BW1434" t="str">
        <f>"14:50:45.817"</f>
        <v>14:50:45.817</v>
      </c>
      <c r="CJ1434">
        <v>3</v>
      </c>
      <c r="CK1434">
        <v>2</v>
      </c>
      <c r="CL1434">
        <v>0</v>
      </c>
      <c r="CM1434">
        <v>2</v>
      </c>
      <c r="CN1434">
        <v>0</v>
      </c>
      <c r="CO1434">
        <v>5</v>
      </c>
      <c r="CP1434" t="s">
        <v>119</v>
      </c>
      <c r="CQ1434">
        <v>232</v>
      </c>
      <c r="CR1434">
        <v>2</v>
      </c>
      <c r="CW1434">
        <v>6772286</v>
      </c>
      <c r="CY1434">
        <v>1</v>
      </c>
      <c r="CZ1434">
        <v>0</v>
      </c>
      <c r="DA1434">
        <v>0</v>
      </c>
      <c r="DB1434">
        <v>0</v>
      </c>
      <c r="DC1434">
        <v>0</v>
      </c>
      <c r="DD1434">
        <v>1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>"12/16/2021 14:50:46.023"</f>
        <v>12/16/2021 14:50:46.023</v>
      </c>
      <c r="C1435" t="str">
        <f t="shared" si="70"/>
        <v>FFDFD3C0</v>
      </c>
      <c r="D1435" t="s">
        <v>124</v>
      </c>
      <c r="E1435">
        <v>5</v>
      </c>
      <c r="F1435">
        <v>1005</v>
      </c>
      <c r="G1435" t="s">
        <v>114</v>
      </c>
      <c r="J1435" t="s">
        <v>125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"14:50:45.813"</f>
        <v>14:50:45.813</v>
      </c>
      <c r="T1435" t="str">
        <f>"14:50:45.313"</f>
        <v>14:50:45.313</v>
      </c>
      <c r="U1435" t="str">
        <f t="shared" si="72"/>
        <v>A0F928</v>
      </c>
      <c r="V1435">
        <v>0</v>
      </c>
      <c r="W1435">
        <v>0</v>
      </c>
      <c r="X1435">
        <v>2</v>
      </c>
      <c r="Z1435">
        <v>0</v>
      </c>
      <c r="AA1435">
        <v>9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2</v>
      </c>
      <c r="AH1435">
        <v>1</v>
      </c>
      <c r="AI1435" t="s">
        <v>792</v>
      </c>
      <c r="AJ1435">
        <v>35.791955000000002</v>
      </c>
      <c r="AK1435" t="s">
        <v>793</v>
      </c>
      <c r="AL1435">
        <v>-84.043114000000003</v>
      </c>
      <c r="AM1435">
        <v>25</v>
      </c>
      <c r="AN1435">
        <v>1600</v>
      </c>
      <c r="AO1435" t="s">
        <v>118</v>
      </c>
      <c r="AP1435">
        <v>-75</v>
      </c>
      <c r="AQ1435">
        <v>129</v>
      </c>
      <c r="AR1435">
        <v>-576</v>
      </c>
      <c r="AZ1435">
        <v>300</v>
      </c>
      <c r="BA1435">
        <v>1</v>
      </c>
      <c r="BB1435" t="str">
        <f t="shared" si="71"/>
        <v xml:space="preserve">N162AM  </v>
      </c>
      <c r="BC1435">
        <v>1</v>
      </c>
      <c r="BE1435">
        <v>0</v>
      </c>
      <c r="BF1435">
        <v>0</v>
      </c>
      <c r="BG1435">
        <v>0</v>
      </c>
      <c r="BH1435">
        <v>1875</v>
      </c>
      <c r="BI1435">
        <v>1</v>
      </c>
      <c r="BJ1435">
        <v>1</v>
      </c>
      <c r="BK1435">
        <v>1</v>
      </c>
      <c r="BL1435">
        <v>0</v>
      </c>
      <c r="BO1435">
        <v>0</v>
      </c>
      <c r="BP1435">
        <v>0</v>
      </c>
      <c r="BW1435" t="str">
        <f>"14:50:45.817"</f>
        <v>14:50:45.817</v>
      </c>
      <c r="CJ1435">
        <v>3</v>
      </c>
      <c r="CK1435">
        <v>2</v>
      </c>
      <c r="CL1435">
        <v>0</v>
      </c>
      <c r="CM1435">
        <v>2</v>
      </c>
      <c r="CN1435">
        <v>0</v>
      </c>
      <c r="CO1435">
        <v>5</v>
      </c>
      <c r="CP1435" t="s">
        <v>119</v>
      </c>
      <c r="CQ1435">
        <v>232</v>
      </c>
      <c r="CR1435">
        <v>2</v>
      </c>
      <c r="CW1435">
        <v>6772286</v>
      </c>
      <c r="CY1435">
        <v>1</v>
      </c>
      <c r="CZ1435">
        <v>0</v>
      </c>
      <c r="DA1435">
        <v>1</v>
      </c>
      <c r="DB1435">
        <v>0</v>
      </c>
      <c r="DC1435">
        <v>0</v>
      </c>
      <c r="DD1435">
        <v>1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"12/16/2021 14:50:46.023"</f>
        <v>12/16/2021 14:50:46.023</v>
      </c>
      <c r="C1436" t="str">
        <f t="shared" si="70"/>
        <v>FFDFD3C0</v>
      </c>
      <c r="D1436" t="s">
        <v>124</v>
      </c>
      <c r="E1436">
        <v>10</v>
      </c>
      <c r="F1436">
        <v>1010</v>
      </c>
      <c r="G1436" t="s">
        <v>130</v>
      </c>
      <c r="J1436" t="s">
        <v>125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"14:50:45.813"</f>
        <v>14:50:45.813</v>
      </c>
      <c r="T1436" t="str">
        <f>"14:50:45.313"</f>
        <v>14:50:45.313</v>
      </c>
      <c r="U1436" t="str">
        <f t="shared" si="72"/>
        <v>A0F928</v>
      </c>
      <c r="V1436">
        <v>0</v>
      </c>
      <c r="W1436">
        <v>0</v>
      </c>
      <c r="X1436">
        <v>2</v>
      </c>
      <c r="Z1436">
        <v>0</v>
      </c>
      <c r="AA1436">
        <v>9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2</v>
      </c>
      <c r="AH1436">
        <v>1</v>
      </c>
      <c r="AI1436" t="s">
        <v>792</v>
      </c>
      <c r="AJ1436">
        <v>35.791955000000002</v>
      </c>
      <c r="AK1436" t="s">
        <v>793</v>
      </c>
      <c r="AL1436">
        <v>-84.043114000000003</v>
      </c>
      <c r="AM1436">
        <v>25</v>
      </c>
      <c r="AN1436">
        <v>1600</v>
      </c>
      <c r="AO1436" t="s">
        <v>118</v>
      </c>
      <c r="AP1436">
        <v>-75</v>
      </c>
      <c r="AQ1436">
        <v>129</v>
      </c>
      <c r="AR1436">
        <v>-576</v>
      </c>
      <c r="AZ1436">
        <v>300</v>
      </c>
      <c r="BA1436">
        <v>1</v>
      </c>
      <c r="BB1436" t="str">
        <f t="shared" si="71"/>
        <v xml:space="preserve">N162AM  </v>
      </c>
      <c r="BC1436">
        <v>1</v>
      </c>
      <c r="BE1436">
        <v>0</v>
      </c>
      <c r="BF1436">
        <v>0</v>
      </c>
      <c r="BG1436">
        <v>0</v>
      </c>
      <c r="BH1436">
        <v>1875</v>
      </c>
      <c r="BI1436">
        <v>1</v>
      </c>
      <c r="BJ1436">
        <v>1</v>
      </c>
      <c r="BK1436">
        <v>1</v>
      </c>
      <c r="BL1436">
        <v>0</v>
      </c>
      <c r="BO1436">
        <v>0</v>
      </c>
      <c r="BP1436">
        <v>0</v>
      </c>
      <c r="BW1436" t="str">
        <f>"14:50:45.817"</f>
        <v>14:50:45.817</v>
      </c>
      <c r="CJ1436">
        <v>3</v>
      </c>
      <c r="CK1436">
        <v>2</v>
      </c>
      <c r="CL1436">
        <v>0</v>
      </c>
      <c r="CM1436">
        <v>2</v>
      </c>
      <c r="CN1436">
        <v>0</v>
      </c>
      <c r="CO1436">
        <v>5</v>
      </c>
      <c r="CP1436" t="s">
        <v>119</v>
      </c>
      <c r="CQ1436">
        <v>232</v>
      </c>
      <c r="CR1436">
        <v>2</v>
      </c>
      <c r="CW1436">
        <v>6772286</v>
      </c>
      <c r="CY1436">
        <v>1</v>
      </c>
      <c r="CZ1436">
        <v>0</v>
      </c>
      <c r="DA1436">
        <v>1</v>
      </c>
      <c r="DB1436">
        <v>0</v>
      </c>
      <c r="DC1436">
        <v>0</v>
      </c>
      <c r="DD1436">
        <v>1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>"12/16/2021 14:50:46.086"</f>
        <v>12/16/2021 14:50:46.086</v>
      </c>
      <c r="C1437" t="str">
        <f t="shared" si="70"/>
        <v>FFDFD3C0</v>
      </c>
      <c r="D1437" t="s">
        <v>113</v>
      </c>
      <c r="E1437">
        <v>8</v>
      </c>
      <c r="H1437">
        <v>176</v>
      </c>
      <c r="I1437" t="s">
        <v>114</v>
      </c>
      <c r="J1437" t="s">
        <v>115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"14:50:45.813"</f>
        <v>14:50:45.813</v>
      </c>
      <c r="T1437" t="str">
        <f>"14:50:45.313"</f>
        <v>14:50:45.313</v>
      </c>
      <c r="U1437" t="str">
        <f t="shared" si="72"/>
        <v>A0F928</v>
      </c>
      <c r="V1437">
        <v>0</v>
      </c>
      <c r="W1437">
        <v>0</v>
      </c>
      <c r="X1437">
        <v>2</v>
      </c>
      <c r="Z1437">
        <v>0</v>
      </c>
      <c r="AA1437">
        <v>9</v>
      </c>
      <c r="AB1437">
        <v>3</v>
      </c>
      <c r="AC1437">
        <v>0</v>
      </c>
      <c r="AD1437">
        <v>10</v>
      </c>
      <c r="AE1437">
        <v>0</v>
      </c>
      <c r="AF1437">
        <v>3</v>
      </c>
      <c r="AG1437">
        <v>2</v>
      </c>
      <c r="AH1437">
        <v>1</v>
      </c>
      <c r="AI1437" t="s">
        <v>792</v>
      </c>
      <c r="AJ1437">
        <v>35.791955000000002</v>
      </c>
      <c r="AK1437" t="s">
        <v>793</v>
      </c>
      <c r="AL1437">
        <v>-84.043114000000003</v>
      </c>
      <c r="AM1437">
        <v>25</v>
      </c>
      <c r="AN1437">
        <v>1600</v>
      </c>
      <c r="AO1437" t="s">
        <v>118</v>
      </c>
      <c r="AP1437">
        <v>-75</v>
      </c>
      <c r="AQ1437">
        <v>129</v>
      </c>
      <c r="AR1437">
        <v>-576</v>
      </c>
      <c r="AZ1437">
        <v>300</v>
      </c>
      <c r="BA1437">
        <v>1</v>
      </c>
      <c r="BB1437" t="str">
        <f t="shared" si="71"/>
        <v xml:space="preserve">N162AM  </v>
      </c>
      <c r="BC1437">
        <v>1</v>
      </c>
      <c r="BE1437">
        <v>0</v>
      </c>
      <c r="BF1437">
        <v>0</v>
      </c>
      <c r="BG1437">
        <v>0</v>
      </c>
      <c r="BH1437">
        <v>1875</v>
      </c>
      <c r="BI1437">
        <v>1</v>
      </c>
      <c r="BJ1437">
        <v>1</v>
      </c>
      <c r="BK1437">
        <v>1</v>
      </c>
      <c r="BL1437">
        <v>0</v>
      </c>
      <c r="BO1437">
        <v>0</v>
      </c>
      <c r="BP1437">
        <v>0</v>
      </c>
      <c r="BW1437" t="str">
        <f>"14:50:45.817"</f>
        <v>14:50:45.817</v>
      </c>
      <c r="CJ1437">
        <v>3</v>
      </c>
      <c r="CK1437">
        <v>2</v>
      </c>
      <c r="CL1437">
        <v>0</v>
      </c>
      <c r="CM1437">
        <v>2</v>
      </c>
      <c r="CN1437">
        <v>0</v>
      </c>
      <c r="CO1437">
        <v>5</v>
      </c>
      <c r="CP1437" t="s">
        <v>119</v>
      </c>
      <c r="CQ1437">
        <v>232</v>
      </c>
      <c r="CR1437">
        <v>2</v>
      </c>
      <c r="CW1437">
        <v>6772286</v>
      </c>
      <c r="CY1437">
        <v>1</v>
      </c>
      <c r="CZ1437">
        <v>0</v>
      </c>
      <c r="DA1437">
        <v>1</v>
      </c>
      <c r="DB1437">
        <v>0</v>
      </c>
      <c r="DC1437">
        <v>0</v>
      </c>
      <c r="DD1437">
        <v>1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>"12/16/2021 14:50:46.883"</f>
        <v>12/16/2021 14:50:46.883</v>
      </c>
      <c r="C1438" t="str">
        <f t="shared" si="70"/>
        <v>FFDFD3C0</v>
      </c>
      <c r="D1438" t="s">
        <v>133</v>
      </c>
      <c r="E1438">
        <v>44</v>
      </c>
      <c r="H1438">
        <v>131</v>
      </c>
      <c r="I1438" t="s">
        <v>134</v>
      </c>
      <c r="J1438" t="s">
        <v>135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"14:50:46.656"</f>
        <v>14:50:46.656</v>
      </c>
      <c r="T1438" t="str">
        <f>"14:50:46.256"</f>
        <v>14:50:46.256</v>
      </c>
      <c r="U1438" t="str">
        <f t="shared" si="72"/>
        <v>A0F928</v>
      </c>
      <c r="V1438">
        <v>0</v>
      </c>
      <c r="W1438">
        <v>0</v>
      </c>
      <c r="X1438">
        <v>2</v>
      </c>
      <c r="Z1438">
        <v>0</v>
      </c>
      <c r="AA1438">
        <v>9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2</v>
      </c>
      <c r="AH1438">
        <v>1</v>
      </c>
      <c r="AI1438" t="s">
        <v>794</v>
      </c>
      <c r="AJ1438">
        <v>35.792534000000003</v>
      </c>
      <c r="AK1438" t="s">
        <v>795</v>
      </c>
      <c r="AL1438">
        <v>-84.043414999999996</v>
      </c>
      <c r="AM1438">
        <v>25</v>
      </c>
      <c r="AN1438">
        <v>1600</v>
      </c>
      <c r="AO1438" t="s">
        <v>118</v>
      </c>
      <c r="AP1438">
        <v>-70</v>
      </c>
      <c r="AQ1438">
        <v>132</v>
      </c>
      <c r="AR1438">
        <v>-576</v>
      </c>
      <c r="AZ1438">
        <v>300</v>
      </c>
      <c r="BA1438">
        <v>1</v>
      </c>
      <c r="BB1438" t="str">
        <f t="shared" si="71"/>
        <v xml:space="preserve">N162AM  </v>
      </c>
      <c r="BC1438">
        <v>1</v>
      </c>
      <c r="BE1438">
        <v>0</v>
      </c>
      <c r="BF1438">
        <v>0</v>
      </c>
      <c r="BG1438">
        <v>0</v>
      </c>
      <c r="BH1438">
        <v>1900</v>
      </c>
      <c r="BI1438">
        <v>1</v>
      </c>
      <c r="BJ1438">
        <v>1</v>
      </c>
      <c r="BK1438">
        <v>1</v>
      </c>
      <c r="BL1438">
        <v>0</v>
      </c>
      <c r="BO1438">
        <v>0</v>
      </c>
      <c r="BP1438">
        <v>0</v>
      </c>
      <c r="BW1438" t="str">
        <f>"14:50:46.657"</f>
        <v>14:50:46.657</v>
      </c>
      <c r="CJ1438">
        <v>3</v>
      </c>
      <c r="CK1438">
        <v>2</v>
      </c>
      <c r="CL1438">
        <v>0</v>
      </c>
      <c r="CM1438">
        <v>2</v>
      </c>
      <c r="CN1438">
        <v>0</v>
      </c>
      <c r="CO1438">
        <v>3</v>
      </c>
      <c r="CP1438" t="s">
        <v>119</v>
      </c>
      <c r="CQ1438">
        <v>216</v>
      </c>
      <c r="CR1438">
        <v>0</v>
      </c>
      <c r="CW1438">
        <v>953720</v>
      </c>
      <c r="CY1438">
        <v>1</v>
      </c>
      <c r="CZ1438">
        <v>0</v>
      </c>
      <c r="DA1438">
        <v>0</v>
      </c>
      <c r="DB1438">
        <v>0</v>
      </c>
      <c r="DC1438">
        <v>0</v>
      </c>
      <c r="DD1438">
        <v>1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>"12/16/2021 14:50:46.883"</f>
        <v>12/16/2021 14:50:46.883</v>
      </c>
      <c r="C1439" t="str">
        <f t="shared" si="70"/>
        <v>FFDFD3C0</v>
      </c>
      <c r="D1439" t="s">
        <v>124</v>
      </c>
      <c r="E1439">
        <v>5</v>
      </c>
      <c r="F1439">
        <v>1005</v>
      </c>
      <c r="G1439" t="s">
        <v>114</v>
      </c>
      <c r="J1439" t="s">
        <v>125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"14:50:46.656"</f>
        <v>14:50:46.656</v>
      </c>
      <c r="T1439" t="str">
        <f>"14:50:46.256"</f>
        <v>14:50:46.256</v>
      </c>
      <c r="U1439" t="str">
        <f t="shared" si="72"/>
        <v>A0F928</v>
      </c>
      <c r="V1439">
        <v>0</v>
      </c>
      <c r="W1439">
        <v>0</v>
      </c>
      <c r="X1439">
        <v>2</v>
      </c>
      <c r="Z1439">
        <v>0</v>
      </c>
      <c r="AA1439">
        <v>9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2</v>
      </c>
      <c r="AH1439">
        <v>1</v>
      </c>
      <c r="AI1439" t="s">
        <v>794</v>
      </c>
      <c r="AJ1439">
        <v>35.792534000000003</v>
      </c>
      <c r="AK1439" t="s">
        <v>795</v>
      </c>
      <c r="AL1439">
        <v>-84.043414999999996</v>
      </c>
      <c r="AM1439">
        <v>25</v>
      </c>
      <c r="AN1439">
        <v>1600</v>
      </c>
      <c r="AO1439" t="s">
        <v>118</v>
      </c>
      <c r="AP1439">
        <v>-70</v>
      </c>
      <c r="AQ1439">
        <v>132</v>
      </c>
      <c r="AR1439">
        <v>-576</v>
      </c>
      <c r="AZ1439">
        <v>300</v>
      </c>
      <c r="BA1439">
        <v>1</v>
      </c>
      <c r="BB1439" t="str">
        <f t="shared" si="71"/>
        <v xml:space="preserve">N162AM  </v>
      </c>
      <c r="BC1439">
        <v>1</v>
      </c>
      <c r="BE1439">
        <v>0</v>
      </c>
      <c r="BF1439">
        <v>0</v>
      </c>
      <c r="BG1439">
        <v>0</v>
      </c>
      <c r="BH1439">
        <v>1900</v>
      </c>
      <c r="BI1439">
        <v>1</v>
      </c>
      <c r="BJ1439">
        <v>1</v>
      </c>
      <c r="BK1439">
        <v>1</v>
      </c>
      <c r="BL1439">
        <v>0</v>
      </c>
      <c r="BO1439">
        <v>0</v>
      </c>
      <c r="BP1439">
        <v>0</v>
      </c>
      <c r="BW1439" t="str">
        <f>"14:50:46.657"</f>
        <v>14:50:46.657</v>
      </c>
      <c r="CJ1439">
        <v>3</v>
      </c>
      <c r="CK1439">
        <v>2</v>
      </c>
      <c r="CL1439">
        <v>0</v>
      </c>
      <c r="CM1439">
        <v>2</v>
      </c>
      <c r="CN1439">
        <v>0</v>
      </c>
      <c r="CO1439">
        <v>3</v>
      </c>
      <c r="CP1439" t="s">
        <v>119</v>
      </c>
      <c r="CQ1439">
        <v>216</v>
      </c>
      <c r="CR1439">
        <v>0</v>
      </c>
      <c r="CW1439">
        <v>953720</v>
      </c>
      <c r="CY1439">
        <v>1</v>
      </c>
      <c r="CZ1439">
        <v>0</v>
      </c>
      <c r="DA1439">
        <v>1</v>
      </c>
      <c r="DB1439">
        <v>0</v>
      </c>
      <c r="DC1439">
        <v>0</v>
      </c>
      <c r="DD1439">
        <v>1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>"12/16/2021 14:50:46.883"</f>
        <v>12/16/2021 14:50:46.883</v>
      </c>
      <c r="C1440" t="str">
        <f t="shared" si="70"/>
        <v>FFDFD3C0</v>
      </c>
      <c r="D1440" t="s">
        <v>113</v>
      </c>
      <c r="E1440">
        <v>8</v>
      </c>
      <c r="H1440">
        <v>176</v>
      </c>
      <c r="I1440" t="s">
        <v>114</v>
      </c>
      <c r="J1440" t="s">
        <v>115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"14:50:46.656"</f>
        <v>14:50:46.656</v>
      </c>
      <c r="T1440" t="str">
        <f>"14:50:46.256"</f>
        <v>14:50:46.256</v>
      </c>
      <c r="U1440" t="str">
        <f t="shared" si="72"/>
        <v>A0F928</v>
      </c>
      <c r="V1440">
        <v>0</v>
      </c>
      <c r="W1440">
        <v>0</v>
      </c>
      <c r="X1440">
        <v>2</v>
      </c>
      <c r="Z1440">
        <v>0</v>
      </c>
      <c r="AA1440">
        <v>9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2</v>
      </c>
      <c r="AH1440">
        <v>1</v>
      </c>
      <c r="AI1440" t="s">
        <v>794</v>
      </c>
      <c r="AJ1440">
        <v>35.792534000000003</v>
      </c>
      <c r="AK1440" t="s">
        <v>795</v>
      </c>
      <c r="AL1440">
        <v>-84.043414999999996</v>
      </c>
      <c r="AM1440">
        <v>25</v>
      </c>
      <c r="AN1440">
        <v>1600</v>
      </c>
      <c r="AO1440" t="s">
        <v>118</v>
      </c>
      <c r="AP1440">
        <v>-70</v>
      </c>
      <c r="AQ1440">
        <v>132</v>
      </c>
      <c r="AR1440">
        <v>-576</v>
      </c>
      <c r="AZ1440">
        <v>300</v>
      </c>
      <c r="BA1440">
        <v>1</v>
      </c>
      <c r="BB1440" t="str">
        <f t="shared" si="71"/>
        <v xml:space="preserve">N162AM  </v>
      </c>
      <c r="BC1440">
        <v>1</v>
      </c>
      <c r="BE1440">
        <v>0</v>
      </c>
      <c r="BF1440">
        <v>0</v>
      </c>
      <c r="BG1440">
        <v>0</v>
      </c>
      <c r="BH1440">
        <v>1900</v>
      </c>
      <c r="BI1440">
        <v>1</v>
      </c>
      <c r="BJ1440">
        <v>1</v>
      </c>
      <c r="BK1440">
        <v>1</v>
      </c>
      <c r="BL1440">
        <v>0</v>
      </c>
      <c r="BO1440">
        <v>0</v>
      </c>
      <c r="BP1440">
        <v>0</v>
      </c>
      <c r="BW1440" t="str">
        <f>"14:50:46.657"</f>
        <v>14:50:46.657</v>
      </c>
      <c r="CJ1440">
        <v>3</v>
      </c>
      <c r="CK1440">
        <v>2</v>
      </c>
      <c r="CL1440">
        <v>0</v>
      </c>
      <c r="CM1440">
        <v>2</v>
      </c>
      <c r="CN1440">
        <v>0</v>
      </c>
      <c r="CO1440">
        <v>3</v>
      </c>
      <c r="CP1440" t="s">
        <v>119</v>
      </c>
      <c r="CQ1440">
        <v>216</v>
      </c>
      <c r="CR1440">
        <v>0</v>
      </c>
      <c r="CW1440">
        <v>953720</v>
      </c>
      <c r="CY1440">
        <v>1</v>
      </c>
      <c r="CZ1440">
        <v>0</v>
      </c>
      <c r="DA1440">
        <v>1</v>
      </c>
      <c r="DB1440">
        <v>0</v>
      </c>
      <c r="DC1440">
        <v>0</v>
      </c>
      <c r="DD1440">
        <v>1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>"12/16/2021 14:50:46.883"</f>
        <v>12/16/2021 14:50:46.883</v>
      </c>
      <c r="C1441" t="str">
        <f t="shared" si="70"/>
        <v>FFDFD3C0</v>
      </c>
      <c r="D1441" t="s">
        <v>124</v>
      </c>
      <c r="E1441">
        <v>10</v>
      </c>
      <c r="F1441">
        <v>1010</v>
      </c>
      <c r="G1441" t="s">
        <v>130</v>
      </c>
      <c r="J1441" t="s">
        <v>125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"14:50:46.656"</f>
        <v>14:50:46.656</v>
      </c>
      <c r="T1441" t="str">
        <f>"14:50:46.256"</f>
        <v>14:50:46.256</v>
      </c>
      <c r="U1441" t="str">
        <f t="shared" si="72"/>
        <v>A0F928</v>
      </c>
      <c r="V1441">
        <v>0</v>
      </c>
      <c r="W1441">
        <v>0</v>
      </c>
      <c r="X1441">
        <v>2</v>
      </c>
      <c r="Z1441">
        <v>0</v>
      </c>
      <c r="AA1441">
        <v>9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2</v>
      </c>
      <c r="AH1441">
        <v>1</v>
      </c>
      <c r="AI1441" t="s">
        <v>794</v>
      </c>
      <c r="AJ1441">
        <v>35.792534000000003</v>
      </c>
      <c r="AK1441" t="s">
        <v>795</v>
      </c>
      <c r="AL1441">
        <v>-84.043414999999996</v>
      </c>
      <c r="AM1441">
        <v>25</v>
      </c>
      <c r="AN1441">
        <v>1600</v>
      </c>
      <c r="AO1441" t="s">
        <v>118</v>
      </c>
      <c r="AP1441">
        <v>-70</v>
      </c>
      <c r="AQ1441">
        <v>132</v>
      </c>
      <c r="AR1441">
        <v>-576</v>
      </c>
      <c r="AZ1441">
        <v>300</v>
      </c>
      <c r="BA1441">
        <v>1</v>
      </c>
      <c r="BB1441" t="str">
        <f t="shared" si="71"/>
        <v xml:space="preserve">N162AM  </v>
      </c>
      <c r="BC1441">
        <v>1</v>
      </c>
      <c r="BE1441">
        <v>0</v>
      </c>
      <c r="BF1441">
        <v>0</v>
      </c>
      <c r="BG1441">
        <v>0</v>
      </c>
      <c r="BH1441">
        <v>1900</v>
      </c>
      <c r="BI1441">
        <v>1</v>
      </c>
      <c r="BJ1441">
        <v>1</v>
      </c>
      <c r="BK1441">
        <v>1</v>
      </c>
      <c r="BL1441">
        <v>0</v>
      </c>
      <c r="BO1441">
        <v>0</v>
      </c>
      <c r="BP1441">
        <v>0</v>
      </c>
      <c r="BW1441" t="str">
        <f>"14:50:46.657"</f>
        <v>14:50:46.657</v>
      </c>
      <c r="CJ1441">
        <v>3</v>
      </c>
      <c r="CK1441">
        <v>2</v>
      </c>
      <c r="CL1441">
        <v>0</v>
      </c>
      <c r="CM1441">
        <v>2</v>
      </c>
      <c r="CN1441">
        <v>0</v>
      </c>
      <c r="CO1441">
        <v>3</v>
      </c>
      <c r="CP1441" t="s">
        <v>119</v>
      </c>
      <c r="CQ1441">
        <v>216</v>
      </c>
      <c r="CR1441">
        <v>0</v>
      </c>
      <c r="CW1441">
        <v>953720</v>
      </c>
      <c r="CY1441">
        <v>1</v>
      </c>
      <c r="CZ1441">
        <v>0</v>
      </c>
      <c r="DA1441">
        <v>1</v>
      </c>
      <c r="DB1441">
        <v>0</v>
      </c>
      <c r="DC1441">
        <v>0</v>
      </c>
      <c r="DD1441">
        <v>1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>"12/16/2021 14:50:47.773"</f>
        <v>12/16/2021 14:50:47.773</v>
      </c>
      <c r="C1442" t="str">
        <f t="shared" si="70"/>
        <v>FFDFD3C0</v>
      </c>
      <c r="D1442" t="s">
        <v>113</v>
      </c>
      <c r="E1442">
        <v>8</v>
      </c>
      <c r="H1442">
        <v>176</v>
      </c>
      <c r="I1442" t="s">
        <v>114</v>
      </c>
      <c r="J1442" t="s">
        <v>115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"14:50:47.508"</f>
        <v>14:50:47.508</v>
      </c>
      <c r="T1442" t="str">
        <f>"14:50:46.708"</f>
        <v>14:50:46.708</v>
      </c>
      <c r="U1442" t="str">
        <f t="shared" si="72"/>
        <v>A0F928</v>
      </c>
      <c r="V1442">
        <v>0</v>
      </c>
      <c r="W1442">
        <v>0</v>
      </c>
      <c r="X1442">
        <v>2</v>
      </c>
      <c r="Z1442">
        <v>0</v>
      </c>
      <c r="AA1442">
        <v>9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2</v>
      </c>
      <c r="AH1442">
        <v>1</v>
      </c>
      <c r="AI1442" t="s">
        <v>796</v>
      </c>
      <c r="AJ1442">
        <v>35.793028</v>
      </c>
      <c r="AK1442" t="s">
        <v>797</v>
      </c>
      <c r="AL1442">
        <v>-84.043715000000006</v>
      </c>
      <c r="AM1442">
        <v>25</v>
      </c>
      <c r="AN1442">
        <v>1600</v>
      </c>
      <c r="AO1442" t="s">
        <v>118</v>
      </c>
      <c r="AP1442">
        <v>-66</v>
      </c>
      <c r="AQ1442">
        <v>134</v>
      </c>
      <c r="AR1442">
        <v>-576</v>
      </c>
      <c r="AZ1442">
        <v>300</v>
      </c>
      <c r="BA1442">
        <v>1</v>
      </c>
      <c r="BB1442" t="str">
        <f t="shared" si="71"/>
        <v xml:space="preserve">N162AM  </v>
      </c>
      <c r="BC1442">
        <v>1</v>
      </c>
      <c r="BE1442">
        <v>0</v>
      </c>
      <c r="BF1442">
        <v>0</v>
      </c>
      <c r="BG1442">
        <v>0</v>
      </c>
      <c r="BH1442">
        <v>1875</v>
      </c>
      <c r="BI1442">
        <v>1</v>
      </c>
      <c r="BJ1442">
        <v>1</v>
      </c>
      <c r="BK1442">
        <v>1</v>
      </c>
      <c r="BL1442">
        <v>0</v>
      </c>
      <c r="BO1442">
        <v>0</v>
      </c>
      <c r="BP1442">
        <v>0</v>
      </c>
      <c r="BW1442" t="str">
        <f>"14:50:47.514"</f>
        <v>14:50:47.514</v>
      </c>
      <c r="CJ1442">
        <v>3</v>
      </c>
      <c r="CK1442">
        <v>2</v>
      </c>
      <c r="CL1442">
        <v>0</v>
      </c>
      <c r="CM1442">
        <v>2</v>
      </c>
      <c r="CN1442">
        <v>0</v>
      </c>
      <c r="CO1442">
        <v>2</v>
      </c>
      <c r="CP1442" t="s">
        <v>119</v>
      </c>
      <c r="CQ1442">
        <v>216</v>
      </c>
      <c r="CR1442">
        <v>0</v>
      </c>
      <c r="CW1442">
        <v>954891</v>
      </c>
      <c r="CY1442">
        <v>1</v>
      </c>
      <c r="CZ1442">
        <v>0</v>
      </c>
      <c r="DA1442">
        <v>0</v>
      </c>
      <c r="DB1442">
        <v>0</v>
      </c>
      <c r="DC1442">
        <v>0</v>
      </c>
      <c r="DD1442">
        <v>1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>"12/16/2021 14:50:47.773"</f>
        <v>12/16/2021 14:50:47.773</v>
      </c>
      <c r="C1443" t="str">
        <f t="shared" si="70"/>
        <v>FFDFD3C0</v>
      </c>
      <c r="D1443" t="s">
        <v>133</v>
      </c>
      <c r="E1443">
        <v>44</v>
      </c>
      <c r="H1443">
        <v>131</v>
      </c>
      <c r="I1443" t="s">
        <v>134</v>
      </c>
      <c r="J1443" t="s">
        <v>135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"14:50:47.508"</f>
        <v>14:50:47.508</v>
      </c>
      <c r="T1443" t="str">
        <f>"14:50:46.708"</f>
        <v>14:50:46.708</v>
      </c>
      <c r="U1443" t="str">
        <f t="shared" si="72"/>
        <v>A0F928</v>
      </c>
      <c r="V1443">
        <v>0</v>
      </c>
      <c r="W1443">
        <v>0</v>
      </c>
      <c r="X1443">
        <v>2</v>
      </c>
      <c r="Z1443">
        <v>0</v>
      </c>
      <c r="AA1443">
        <v>9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2</v>
      </c>
      <c r="AH1443">
        <v>1</v>
      </c>
      <c r="AI1443" t="s">
        <v>796</v>
      </c>
      <c r="AJ1443">
        <v>35.793028</v>
      </c>
      <c r="AK1443" t="s">
        <v>797</v>
      </c>
      <c r="AL1443">
        <v>-84.043715000000006</v>
      </c>
      <c r="AM1443">
        <v>25</v>
      </c>
      <c r="AN1443">
        <v>1600</v>
      </c>
      <c r="AO1443" t="s">
        <v>118</v>
      </c>
      <c r="AP1443">
        <v>-66</v>
      </c>
      <c r="AQ1443">
        <v>134</v>
      </c>
      <c r="AR1443">
        <v>-576</v>
      </c>
      <c r="AZ1443">
        <v>300</v>
      </c>
      <c r="BA1443">
        <v>1</v>
      </c>
      <c r="BB1443" t="str">
        <f t="shared" si="71"/>
        <v xml:space="preserve">N162AM  </v>
      </c>
      <c r="BC1443">
        <v>1</v>
      </c>
      <c r="BE1443">
        <v>0</v>
      </c>
      <c r="BF1443">
        <v>0</v>
      </c>
      <c r="BG1443">
        <v>0</v>
      </c>
      <c r="BH1443">
        <v>1875</v>
      </c>
      <c r="BI1443">
        <v>1</v>
      </c>
      <c r="BJ1443">
        <v>1</v>
      </c>
      <c r="BK1443">
        <v>1</v>
      </c>
      <c r="BL1443">
        <v>0</v>
      </c>
      <c r="BO1443">
        <v>0</v>
      </c>
      <c r="BP1443">
        <v>0</v>
      </c>
      <c r="BW1443" t="str">
        <f>"14:50:47.514"</f>
        <v>14:50:47.514</v>
      </c>
      <c r="CJ1443">
        <v>3</v>
      </c>
      <c r="CK1443">
        <v>2</v>
      </c>
      <c r="CL1443">
        <v>0</v>
      </c>
      <c r="CM1443">
        <v>2</v>
      </c>
      <c r="CN1443">
        <v>0</v>
      </c>
      <c r="CO1443">
        <v>2</v>
      </c>
      <c r="CP1443" t="s">
        <v>119</v>
      </c>
      <c r="CQ1443">
        <v>216</v>
      </c>
      <c r="CR1443">
        <v>0</v>
      </c>
      <c r="CW1443">
        <v>954891</v>
      </c>
      <c r="CY1443">
        <v>1</v>
      </c>
      <c r="CZ1443">
        <v>0</v>
      </c>
      <c r="DA1443">
        <v>1</v>
      </c>
      <c r="DB1443">
        <v>0</v>
      </c>
      <c r="DC1443">
        <v>0</v>
      </c>
      <c r="DD1443">
        <v>1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>"12/16/2021 14:50:47.773"</f>
        <v>12/16/2021 14:50:47.773</v>
      </c>
      <c r="C1444" t="str">
        <f t="shared" si="70"/>
        <v>FFDFD3C0</v>
      </c>
      <c r="D1444" t="s">
        <v>124</v>
      </c>
      <c r="E1444">
        <v>10</v>
      </c>
      <c r="F1444">
        <v>1010</v>
      </c>
      <c r="G1444" t="s">
        <v>130</v>
      </c>
      <c r="J1444" t="s">
        <v>125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"14:50:47.508"</f>
        <v>14:50:47.508</v>
      </c>
      <c r="T1444" t="str">
        <f>"14:50:46.708"</f>
        <v>14:50:46.708</v>
      </c>
      <c r="U1444" t="str">
        <f t="shared" si="72"/>
        <v>A0F928</v>
      </c>
      <c r="V1444">
        <v>0</v>
      </c>
      <c r="W1444">
        <v>0</v>
      </c>
      <c r="X1444">
        <v>2</v>
      </c>
      <c r="Z1444">
        <v>0</v>
      </c>
      <c r="AA1444">
        <v>9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2</v>
      </c>
      <c r="AH1444">
        <v>1</v>
      </c>
      <c r="AI1444" t="s">
        <v>796</v>
      </c>
      <c r="AJ1444">
        <v>35.793028</v>
      </c>
      <c r="AK1444" t="s">
        <v>797</v>
      </c>
      <c r="AL1444">
        <v>-84.043715000000006</v>
      </c>
      <c r="AM1444">
        <v>25</v>
      </c>
      <c r="AN1444">
        <v>1600</v>
      </c>
      <c r="AO1444" t="s">
        <v>118</v>
      </c>
      <c r="AP1444">
        <v>-66</v>
      </c>
      <c r="AQ1444">
        <v>134</v>
      </c>
      <c r="AR1444">
        <v>-576</v>
      </c>
      <c r="AZ1444">
        <v>300</v>
      </c>
      <c r="BA1444">
        <v>1</v>
      </c>
      <c r="BB1444" t="str">
        <f t="shared" si="71"/>
        <v xml:space="preserve">N162AM  </v>
      </c>
      <c r="BC1444">
        <v>1</v>
      </c>
      <c r="BE1444">
        <v>0</v>
      </c>
      <c r="BF1444">
        <v>0</v>
      </c>
      <c r="BG1444">
        <v>0</v>
      </c>
      <c r="BH1444">
        <v>1875</v>
      </c>
      <c r="BI1444">
        <v>1</v>
      </c>
      <c r="BJ1444">
        <v>1</v>
      </c>
      <c r="BK1444">
        <v>1</v>
      </c>
      <c r="BL1444">
        <v>0</v>
      </c>
      <c r="BO1444">
        <v>0</v>
      </c>
      <c r="BP1444">
        <v>0</v>
      </c>
      <c r="BW1444" t="str">
        <f>"14:50:47.514"</f>
        <v>14:50:47.514</v>
      </c>
      <c r="CJ1444">
        <v>3</v>
      </c>
      <c r="CK1444">
        <v>2</v>
      </c>
      <c r="CL1444">
        <v>0</v>
      </c>
      <c r="CM1444">
        <v>2</v>
      </c>
      <c r="CN1444">
        <v>0</v>
      </c>
      <c r="CO1444">
        <v>2</v>
      </c>
      <c r="CP1444" t="s">
        <v>119</v>
      </c>
      <c r="CQ1444">
        <v>216</v>
      </c>
      <c r="CR1444">
        <v>0</v>
      </c>
      <c r="CW1444">
        <v>954891</v>
      </c>
      <c r="CY1444">
        <v>1</v>
      </c>
      <c r="CZ1444">
        <v>0</v>
      </c>
      <c r="DA1444">
        <v>1</v>
      </c>
      <c r="DB1444">
        <v>0</v>
      </c>
      <c r="DC1444">
        <v>0</v>
      </c>
      <c r="DD1444">
        <v>1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>"12/16/2021 14:50:47.789"</f>
        <v>12/16/2021 14:50:47.789</v>
      </c>
      <c r="C1445" t="str">
        <f t="shared" si="70"/>
        <v>FFDFD3C0</v>
      </c>
      <c r="D1445" t="s">
        <v>124</v>
      </c>
      <c r="E1445">
        <v>5</v>
      </c>
      <c r="F1445">
        <v>1005</v>
      </c>
      <c r="G1445" t="s">
        <v>114</v>
      </c>
      <c r="J1445" t="s">
        <v>125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"14:50:47.508"</f>
        <v>14:50:47.508</v>
      </c>
      <c r="T1445" t="str">
        <f>"14:50:46.708"</f>
        <v>14:50:46.708</v>
      </c>
      <c r="U1445" t="str">
        <f t="shared" si="72"/>
        <v>A0F928</v>
      </c>
      <c r="V1445">
        <v>0</v>
      </c>
      <c r="W1445">
        <v>0</v>
      </c>
      <c r="X1445">
        <v>2</v>
      </c>
      <c r="Z1445">
        <v>0</v>
      </c>
      <c r="AA1445">
        <v>9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2</v>
      </c>
      <c r="AH1445">
        <v>1</v>
      </c>
      <c r="AI1445" t="s">
        <v>796</v>
      </c>
      <c r="AJ1445">
        <v>35.793028</v>
      </c>
      <c r="AK1445" t="s">
        <v>797</v>
      </c>
      <c r="AL1445">
        <v>-84.043715000000006</v>
      </c>
      <c r="AM1445">
        <v>25</v>
      </c>
      <c r="AN1445">
        <v>1600</v>
      </c>
      <c r="AO1445" t="s">
        <v>118</v>
      </c>
      <c r="AP1445">
        <v>-66</v>
      </c>
      <c r="AQ1445">
        <v>134</v>
      </c>
      <c r="AR1445">
        <v>-576</v>
      </c>
      <c r="AZ1445">
        <v>300</v>
      </c>
      <c r="BA1445">
        <v>1</v>
      </c>
      <c r="BB1445" t="str">
        <f t="shared" si="71"/>
        <v xml:space="preserve">N162AM  </v>
      </c>
      <c r="BC1445">
        <v>1</v>
      </c>
      <c r="BE1445">
        <v>0</v>
      </c>
      <c r="BF1445">
        <v>0</v>
      </c>
      <c r="BG1445">
        <v>0</v>
      </c>
      <c r="BH1445">
        <v>1875</v>
      </c>
      <c r="BI1445">
        <v>1</v>
      </c>
      <c r="BJ1445">
        <v>1</v>
      </c>
      <c r="BK1445">
        <v>1</v>
      </c>
      <c r="BL1445">
        <v>0</v>
      </c>
      <c r="BO1445">
        <v>0</v>
      </c>
      <c r="BP1445">
        <v>0</v>
      </c>
      <c r="BW1445" t="str">
        <f>"14:50:47.514"</f>
        <v>14:50:47.514</v>
      </c>
      <c r="CJ1445">
        <v>3</v>
      </c>
      <c r="CK1445">
        <v>2</v>
      </c>
      <c r="CL1445">
        <v>0</v>
      </c>
      <c r="CM1445">
        <v>2</v>
      </c>
      <c r="CN1445">
        <v>0</v>
      </c>
      <c r="CO1445">
        <v>2</v>
      </c>
      <c r="CP1445" t="s">
        <v>119</v>
      </c>
      <c r="CQ1445">
        <v>216</v>
      </c>
      <c r="CR1445">
        <v>0</v>
      </c>
      <c r="CW1445">
        <v>954891</v>
      </c>
      <c r="CY1445">
        <v>1</v>
      </c>
      <c r="CZ1445">
        <v>0</v>
      </c>
      <c r="DA1445">
        <v>1</v>
      </c>
      <c r="DB1445">
        <v>0</v>
      </c>
      <c r="DC1445">
        <v>0</v>
      </c>
      <c r="DD1445">
        <v>1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>"12/16/2021 14:50:48.633"</f>
        <v>12/16/2021 14:50:48.633</v>
      </c>
      <c r="C1446" t="str">
        <f t="shared" si="70"/>
        <v>FFDFD3C0</v>
      </c>
      <c r="D1446" t="s">
        <v>113</v>
      </c>
      <c r="E1446">
        <v>8</v>
      </c>
      <c r="H1446">
        <v>176</v>
      </c>
      <c r="I1446" t="s">
        <v>114</v>
      </c>
      <c r="J1446" t="s">
        <v>115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"14:50:48.438"</f>
        <v>14:50:48.438</v>
      </c>
      <c r="T1446" t="str">
        <f>"14:50:46.738"</f>
        <v>14:50:46.738</v>
      </c>
      <c r="U1446" t="str">
        <f t="shared" si="72"/>
        <v>A0F928</v>
      </c>
      <c r="V1446">
        <v>0</v>
      </c>
      <c r="W1446">
        <v>0</v>
      </c>
      <c r="X1446">
        <v>2</v>
      </c>
      <c r="Z1446">
        <v>0</v>
      </c>
      <c r="AA1446">
        <v>9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2</v>
      </c>
      <c r="AH1446">
        <v>1</v>
      </c>
      <c r="AI1446" t="s">
        <v>798</v>
      </c>
      <c r="AJ1446">
        <v>35.793585999999998</v>
      </c>
      <c r="AK1446" t="s">
        <v>799</v>
      </c>
      <c r="AL1446">
        <v>-84.044037000000003</v>
      </c>
      <c r="AM1446">
        <v>25</v>
      </c>
      <c r="AN1446">
        <v>1575</v>
      </c>
      <c r="AO1446" t="s">
        <v>118</v>
      </c>
      <c r="AP1446">
        <v>-66</v>
      </c>
      <c r="AQ1446">
        <v>134</v>
      </c>
      <c r="AR1446">
        <v>-576</v>
      </c>
      <c r="AZ1446">
        <v>300</v>
      </c>
      <c r="BA1446">
        <v>1</v>
      </c>
      <c r="BB1446" t="str">
        <f t="shared" si="71"/>
        <v xml:space="preserve">N162AM  </v>
      </c>
      <c r="BC1446">
        <v>1</v>
      </c>
      <c r="BE1446">
        <v>0</v>
      </c>
      <c r="BF1446">
        <v>0</v>
      </c>
      <c r="BG1446">
        <v>0</v>
      </c>
      <c r="BH1446">
        <v>1875</v>
      </c>
      <c r="BI1446">
        <v>1</v>
      </c>
      <c r="BJ1446">
        <v>1</v>
      </c>
      <c r="BK1446">
        <v>1</v>
      </c>
      <c r="BL1446">
        <v>0</v>
      </c>
      <c r="BO1446">
        <v>0</v>
      </c>
      <c r="BP1446">
        <v>0</v>
      </c>
      <c r="BW1446" t="str">
        <f>"14:50:48.438"</f>
        <v>14:50:48.438</v>
      </c>
      <c r="CJ1446">
        <v>3</v>
      </c>
      <c r="CK1446">
        <v>2</v>
      </c>
      <c r="CL1446">
        <v>0</v>
      </c>
      <c r="CM1446">
        <v>2</v>
      </c>
      <c r="CN1446">
        <v>0</v>
      </c>
      <c r="CO1446">
        <v>3</v>
      </c>
      <c r="CP1446" t="s">
        <v>119</v>
      </c>
      <c r="CQ1446">
        <v>216</v>
      </c>
      <c r="CR1446">
        <v>0</v>
      </c>
      <c r="CW1446">
        <v>956379</v>
      </c>
      <c r="CY1446">
        <v>1</v>
      </c>
      <c r="CZ1446">
        <v>0</v>
      </c>
      <c r="DA1446">
        <v>0</v>
      </c>
      <c r="DB1446">
        <v>0</v>
      </c>
      <c r="DC1446">
        <v>0</v>
      </c>
      <c r="DD1446">
        <v>1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>"12/16/2021 14:50:48.633"</f>
        <v>12/16/2021 14:50:48.633</v>
      </c>
      <c r="C1447" t="str">
        <f t="shared" si="70"/>
        <v>FFDFD3C0</v>
      </c>
      <c r="D1447" t="s">
        <v>124</v>
      </c>
      <c r="E1447">
        <v>10</v>
      </c>
      <c r="F1447">
        <v>1010</v>
      </c>
      <c r="G1447" t="s">
        <v>130</v>
      </c>
      <c r="J1447" t="s">
        <v>125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"14:50:48.438"</f>
        <v>14:50:48.438</v>
      </c>
      <c r="T1447" t="str">
        <f>"14:50:46.738"</f>
        <v>14:50:46.738</v>
      </c>
      <c r="U1447" t="str">
        <f t="shared" si="72"/>
        <v>A0F928</v>
      </c>
      <c r="V1447">
        <v>0</v>
      </c>
      <c r="W1447">
        <v>0</v>
      </c>
      <c r="X1447">
        <v>2</v>
      </c>
      <c r="Z1447">
        <v>0</v>
      </c>
      <c r="AA1447">
        <v>9</v>
      </c>
      <c r="AB1447">
        <v>3</v>
      </c>
      <c r="AC1447">
        <v>0</v>
      </c>
      <c r="AD1447">
        <v>10</v>
      </c>
      <c r="AE1447">
        <v>0</v>
      </c>
      <c r="AF1447">
        <v>3</v>
      </c>
      <c r="AG1447">
        <v>2</v>
      </c>
      <c r="AH1447">
        <v>1</v>
      </c>
      <c r="AI1447" t="s">
        <v>798</v>
      </c>
      <c r="AJ1447">
        <v>35.793585999999998</v>
      </c>
      <c r="AK1447" t="s">
        <v>799</v>
      </c>
      <c r="AL1447">
        <v>-84.044037000000003</v>
      </c>
      <c r="AM1447">
        <v>25</v>
      </c>
      <c r="AN1447">
        <v>1575</v>
      </c>
      <c r="AO1447" t="s">
        <v>118</v>
      </c>
      <c r="AP1447">
        <v>-66</v>
      </c>
      <c r="AQ1447">
        <v>134</v>
      </c>
      <c r="AR1447">
        <v>-576</v>
      </c>
      <c r="AZ1447">
        <v>300</v>
      </c>
      <c r="BA1447">
        <v>1</v>
      </c>
      <c r="BB1447" t="str">
        <f t="shared" si="71"/>
        <v xml:space="preserve">N162AM  </v>
      </c>
      <c r="BC1447">
        <v>1</v>
      </c>
      <c r="BE1447">
        <v>0</v>
      </c>
      <c r="BF1447">
        <v>0</v>
      </c>
      <c r="BG1447">
        <v>0</v>
      </c>
      <c r="BH1447">
        <v>1875</v>
      </c>
      <c r="BI1447">
        <v>1</v>
      </c>
      <c r="BJ1447">
        <v>1</v>
      </c>
      <c r="BK1447">
        <v>1</v>
      </c>
      <c r="BL1447">
        <v>0</v>
      </c>
      <c r="BO1447">
        <v>0</v>
      </c>
      <c r="BP1447">
        <v>0</v>
      </c>
      <c r="BW1447" t="str">
        <f>"14:50:48.438"</f>
        <v>14:50:48.438</v>
      </c>
      <c r="CJ1447">
        <v>3</v>
      </c>
      <c r="CK1447">
        <v>2</v>
      </c>
      <c r="CL1447">
        <v>0</v>
      </c>
      <c r="CM1447">
        <v>2</v>
      </c>
      <c r="CN1447">
        <v>0</v>
      </c>
      <c r="CO1447">
        <v>3</v>
      </c>
      <c r="CP1447" t="s">
        <v>119</v>
      </c>
      <c r="CQ1447">
        <v>216</v>
      </c>
      <c r="CR1447">
        <v>0</v>
      </c>
      <c r="CW1447">
        <v>956379</v>
      </c>
      <c r="CY1447">
        <v>1</v>
      </c>
      <c r="CZ1447">
        <v>0</v>
      </c>
      <c r="DA1447">
        <v>1</v>
      </c>
      <c r="DB1447">
        <v>0</v>
      </c>
      <c r="DC1447">
        <v>0</v>
      </c>
      <c r="DD1447">
        <v>1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>"12/16/2021 14:50:48.633"</f>
        <v>12/16/2021 14:50:48.633</v>
      </c>
      <c r="C1448" t="str">
        <f t="shared" si="70"/>
        <v>FFDFD3C0</v>
      </c>
      <c r="D1448" t="s">
        <v>133</v>
      </c>
      <c r="E1448">
        <v>44</v>
      </c>
      <c r="H1448">
        <v>131</v>
      </c>
      <c r="I1448" t="s">
        <v>134</v>
      </c>
      <c r="J1448" t="s">
        <v>135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"14:50:48.438"</f>
        <v>14:50:48.438</v>
      </c>
      <c r="T1448" t="str">
        <f>"14:50:46.738"</f>
        <v>14:50:46.738</v>
      </c>
      <c r="U1448" t="str">
        <f t="shared" si="72"/>
        <v>A0F928</v>
      </c>
      <c r="V1448">
        <v>0</v>
      </c>
      <c r="W1448">
        <v>0</v>
      </c>
      <c r="X1448">
        <v>2</v>
      </c>
      <c r="Z1448">
        <v>0</v>
      </c>
      <c r="AA1448">
        <v>9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2</v>
      </c>
      <c r="AH1448">
        <v>1</v>
      </c>
      <c r="AI1448" t="s">
        <v>798</v>
      </c>
      <c r="AJ1448">
        <v>35.793585999999998</v>
      </c>
      <c r="AK1448" t="s">
        <v>799</v>
      </c>
      <c r="AL1448">
        <v>-84.044037000000003</v>
      </c>
      <c r="AM1448">
        <v>25</v>
      </c>
      <c r="AN1448">
        <v>1575</v>
      </c>
      <c r="AO1448" t="s">
        <v>118</v>
      </c>
      <c r="AP1448">
        <v>-66</v>
      </c>
      <c r="AQ1448">
        <v>134</v>
      </c>
      <c r="AR1448">
        <v>-576</v>
      </c>
      <c r="AZ1448">
        <v>300</v>
      </c>
      <c r="BA1448">
        <v>1</v>
      </c>
      <c r="BB1448" t="str">
        <f t="shared" si="71"/>
        <v xml:space="preserve">N162AM  </v>
      </c>
      <c r="BC1448">
        <v>1</v>
      </c>
      <c r="BE1448">
        <v>0</v>
      </c>
      <c r="BF1448">
        <v>0</v>
      </c>
      <c r="BG1448">
        <v>0</v>
      </c>
      <c r="BH1448">
        <v>1875</v>
      </c>
      <c r="BI1448">
        <v>1</v>
      </c>
      <c r="BJ1448">
        <v>1</v>
      </c>
      <c r="BK1448">
        <v>1</v>
      </c>
      <c r="BL1448">
        <v>0</v>
      </c>
      <c r="BO1448">
        <v>0</v>
      </c>
      <c r="BP1448">
        <v>0</v>
      </c>
      <c r="BW1448" t="str">
        <f>"14:50:48.438"</f>
        <v>14:50:48.438</v>
      </c>
      <c r="CJ1448">
        <v>3</v>
      </c>
      <c r="CK1448">
        <v>2</v>
      </c>
      <c r="CL1448">
        <v>0</v>
      </c>
      <c r="CM1448">
        <v>2</v>
      </c>
      <c r="CN1448">
        <v>0</v>
      </c>
      <c r="CO1448">
        <v>3</v>
      </c>
      <c r="CP1448" t="s">
        <v>119</v>
      </c>
      <c r="CQ1448">
        <v>216</v>
      </c>
      <c r="CR1448">
        <v>0</v>
      </c>
      <c r="CW1448">
        <v>956379</v>
      </c>
      <c r="CY1448">
        <v>1</v>
      </c>
      <c r="CZ1448">
        <v>0</v>
      </c>
      <c r="DA1448">
        <v>1</v>
      </c>
      <c r="DB1448">
        <v>0</v>
      </c>
      <c r="DC1448">
        <v>0</v>
      </c>
      <c r="DD1448">
        <v>1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>"12/16/2021 14:50:48.648"</f>
        <v>12/16/2021 14:50:48.648</v>
      </c>
      <c r="C1449" t="str">
        <f t="shared" si="70"/>
        <v>FFDFD3C0</v>
      </c>
      <c r="D1449" t="s">
        <v>124</v>
      </c>
      <c r="E1449">
        <v>5</v>
      </c>
      <c r="F1449">
        <v>1005</v>
      </c>
      <c r="G1449" t="s">
        <v>114</v>
      </c>
      <c r="J1449" t="s">
        <v>125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"14:50:48.438"</f>
        <v>14:50:48.438</v>
      </c>
      <c r="T1449" t="str">
        <f>"14:50:46.738"</f>
        <v>14:50:46.738</v>
      </c>
      <c r="U1449" t="str">
        <f t="shared" si="72"/>
        <v>A0F928</v>
      </c>
      <c r="V1449">
        <v>0</v>
      </c>
      <c r="W1449">
        <v>0</v>
      </c>
      <c r="X1449">
        <v>2</v>
      </c>
      <c r="Z1449">
        <v>0</v>
      </c>
      <c r="AA1449">
        <v>9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2</v>
      </c>
      <c r="AH1449">
        <v>1</v>
      </c>
      <c r="AI1449" t="s">
        <v>798</v>
      </c>
      <c r="AJ1449">
        <v>35.793585999999998</v>
      </c>
      <c r="AK1449" t="s">
        <v>799</v>
      </c>
      <c r="AL1449">
        <v>-84.044037000000003</v>
      </c>
      <c r="AM1449">
        <v>25</v>
      </c>
      <c r="AN1449">
        <v>1575</v>
      </c>
      <c r="AO1449" t="s">
        <v>118</v>
      </c>
      <c r="AP1449">
        <v>-66</v>
      </c>
      <c r="AQ1449">
        <v>134</v>
      </c>
      <c r="AR1449">
        <v>-576</v>
      </c>
      <c r="AZ1449">
        <v>300</v>
      </c>
      <c r="BA1449">
        <v>1</v>
      </c>
      <c r="BB1449" t="str">
        <f t="shared" si="71"/>
        <v xml:space="preserve">N162AM  </v>
      </c>
      <c r="BC1449">
        <v>1</v>
      </c>
      <c r="BE1449">
        <v>0</v>
      </c>
      <c r="BF1449">
        <v>0</v>
      </c>
      <c r="BG1449">
        <v>0</v>
      </c>
      <c r="BH1449">
        <v>1875</v>
      </c>
      <c r="BI1449">
        <v>1</v>
      </c>
      <c r="BJ1449">
        <v>1</v>
      </c>
      <c r="BK1449">
        <v>1</v>
      </c>
      <c r="BL1449">
        <v>0</v>
      </c>
      <c r="BO1449">
        <v>0</v>
      </c>
      <c r="BP1449">
        <v>0</v>
      </c>
      <c r="BW1449" t="str">
        <f>"14:50:48.438"</f>
        <v>14:50:48.438</v>
      </c>
      <c r="CJ1449">
        <v>3</v>
      </c>
      <c r="CK1449">
        <v>2</v>
      </c>
      <c r="CL1449">
        <v>0</v>
      </c>
      <c r="CM1449">
        <v>2</v>
      </c>
      <c r="CN1449">
        <v>0</v>
      </c>
      <c r="CO1449">
        <v>3</v>
      </c>
      <c r="CP1449" t="s">
        <v>119</v>
      </c>
      <c r="CQ1449">
        <v>216</v>
      </c>
      <c r="CR1449">
        <v>0</v>
      </c>
      <c r="CW1449">
        <v>956379</v>
      </c>
      <c r="CY1449">
        <v>1</v>
      </c>
      <c r="CZ1449">
        <v>0</v>
      </c>
      <c r="DA1449">
        <v>1</v>
      </c>
      <c r="DB1449">
        <v>0</v>
      </c>
      <c r="DC1449">
        <v>0</v>
      </c>
      <c r="DD1449">
        <v>1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>"12/16/2021 14:50:49.525"</f>
        <v>12/16/2021 14:50:49.525</v>
      </c>
      <c r="C1450" t="str">
        <f t="shared" si="70"/>
        <v>FFDFD3C0</v>
      </c>
      <c r="D1450" t="s">
        <v>113</v>
      </c>
      <c r="E1450">
        <v>8</v>
      </c>
      <c r="H1450">
        <v>176</v>
      </c>
      <c r="I1450" t="s">
        <v>114</v>
      </c>
      <c r="J1450" t="s">
        <v>115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"14:50:49.344"</f>
        <v>14:50:49.344</v>
      </c>
      <c r="T1450" t="str">
        <f>"14:50:48.944"</f>
        <v>14:50:48.944</v>
      </c>
      <c r="U1450" t="str">
        <f t="shared" si="72"/>
        <v>A0F928</v>
      </c>
      <c r="V1450">
        <v>0</v>
      </c>
      <c r="W1450">
        <v>0</v>
      </c>
      <c r="X1450">
        <v>2</v>
      </c>
      <c r="Z1450">
        <v>0</v>
      </c>
      <c r="AA1450">
        <v>9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2</v>
      </c>
      <c r="AH1450">
        <v>1</v>
      </c>
      <c r="AI1450" t="s">
        <v>800</v>
      </c>
      <c r="AJ1450">
        <v>35.794207999999998</v>
      </c>
      <c r="AK1450" t="s">
        <v>801</v>
      </c>
      <c r="AL1450">
        <v>-84.044251000000003</v>
      </c>
      <c r="AM1450">
        <v>25</v>
      </c>
      <c r="AN1450">
        <v>1575</v>
      </c>
      <c r="AO1450" t="s">
        <v>118</v>
      </c>
      <c r="AP1450">
        <v>-50</v>
      </c>
      <c r="AQ1450">
        <v>141</v>
      </c>
      <c r="AR1450">
        <v>-640</v>
      </c>
      <c r="AZ1450">
        <v>300</v>
      </c>
      <c r="BA1450">
        <v>1</v>
      </c>
      <c r="BB1450" t="str">
        <f t="shared" si="71"/>
        <v xml:space="preserve">N162AM  </v>
      </c>
      <c r="BC1450">
        <v>1</v>
      </c>
      <c r="BE1450">
        <v>0</v>
      </c>
      <c r="BF1450">
        <v>0</v>
      </c>
      <c r="BG1450">
        <v>0</v>
      </c>
      <c r="BH1450">
        <v>1825</v>
      </c>
      <c r="BI1450">
        <v>1</v>
      </c>
      <c r="BJ1450">
        <v>1</v>
      </c>
      <c r="BK1450">
        <v>1</v>
      </c>
      <c r="BL1450">
        <v>0</v>
      </c>
      <c r="BO1450">
        <v>0</v>
      </c>
      <c r="BP1450">
        <v>0</v>
      </c>
      <c r="BW1450" t="str">
        <f>"14:50:49.348"</f>
        <v>14:50:49.348</v>
      </c>
      <c r="CJ1450">
        <v>3</v>
      </c>
      <c r="CK1450">
        <v>2</v>
      </c>
      <c r="CL1450">
        <v>0</v>
      </c>
      <c r="CM1450">
        <v>2</v>
      </c>
      <c r="CN1450">
        <v>0</v>
      </c>
      <c r="CO1450">
        <v>2</v>
      </c>
      <c r="CP1450" t="s">
        <v>119</v>
      </c>
      <c r="CQ1450">
        <v>216</v>
      </c>
      <c r="CR1450">
        <v>0</v>
      </c>
      <c r="CW1450">
        <v>957728</v>
      </c>
      <c r="CY1450">
        <v>1</v>
      </c>
      <c r="CZ1450">
        <v>0</v>
      </c>
      <c r="DA1450">
        <v>0</v>
      </c>
      <c r="DB1450">
        <v>0</v>
      </c>
      <c r="DC1450">
        <v>0</v>
      </c>
      <c r="DD1450">
        <v>1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>"12/16/2021 14:50:49.573"</f>
        <v>12/16/2021 14:50:49.573</v>
      </c>
      <c r="C1451" t="str">
        <f t="shared" si="70"/>
        <v>FFDFD3C0</v>
      </c>
      <c r="D1451" t="s">
        <v>124</v>
      </c>
      <c r="E1451">
        <v>10</v>
      </c>
      <c r="F1451">
        <v>1010</v>
      </c>
      <c r="G1451" t="s">
        <v>130</v>
      </c>
      <c r="J1451" t="s">
        <v>125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"14:50:49.344"</f>
        <v>14:50:49.344</v>
      </c>
      <c r="T1451" t="str">
        <f>"14:50:48.944"</f>
        <v>14:50:48.944</v>
      </c>
      <c r="U1451" t="str">
        <f t="shared" si="72"/>
        <v>A0F928</v>
      </c>
      <c r="V1451">
        <v>0</v>
      </c>
      <c r="W1451">
        <v>0</v>
      </c>
      <c r="X1451">
        <v>2</v>
      </c>
      <c r="Z1451">
        <v>0</v>
      </c>
      <c r="AA1451">
        <v>9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2</v>
      </c>
      <c r="AH1451">
        <v>1</v>
      </c>
      <c r="AI1451" t="s">
        <v>800</v>
      </c>
      <c r="AJ1451">
        <v>35.794207999999998</v>
      </c>
      <c r="AK1451" t="s">
        <v>801</v>
      </c>
      <c r="AL1451">
        <v>-84.044251000000003</v>
      </c>
      <c r="AM1451">
        <v>25</v>
      </c>
      <c r="AN1451">
        <v>1575</v>
      </c>
      <c r="AO1451" t="s">
        <v>118</v>
      </c>
      <c r="AP1451">
        <v>-50</v>
      </c>
      <c r="AQ1451">
        <v>141</v>
      </c>
      <c r="AR1451">
        <v>-640</v>
      </c>
      <c r="AZ1451">
        <v>300</v>
      </c>
      <c r="BA1451">
        <v>1</v>
      </c>
      <c r="BB1451" t="str">
        <f t="shared" si="71"/>
        <v xml:space="preserve">N162AM  </v>
      </c>
      <c r="BC1451">
        <v>1</v>
      </c>
      <c r="BE1451">
        <v>0</v>
      </c>
      <c r="BF1451">
        <v>0</v>
      </c>
      <c r="BG1451">
        <v>0</v>
      </c>
      <c r="BH1451">
        <v>1825</v>
      </c>
      <c r="BI1451">
        <v>1</v>
      </c>
      <c r="BJ1451">
        <v>1</v>
      </c>
      <c r="BK1451">
        <v>1</v>
      </c>
      <c r="BL1451">
        <v>0</v>
      </c>
      <c r="BO1451">
        <v>0</v>
      </c>
      <c r="BP1451">
        <v>0</v>
      </c>
      <c r="BW1451" t="str">
        <f>"14:50:49.348"</f>
        <v>14:50:49.348</v>
      </c>
      <c r="CJ1451">
        <v>3</v>
      </c>
      <c r="CK1451">
        <v>2</v>
      </c>
      <c r="CL1451">
        <v>0</v>
      </c>
      <c r="CM1451">
        <v>2</v>
      </c>
      <c r="CN1451">
        <v>0</v>
      </c>
      <c r="CO1451">
        <v>2</v>
      </c>
      <c r="CP1451" t="s">
        <v>119</v>
      </c>
      <c r="CQ1451">
        <v>216</v>
      </c>
      <c r="CR1451">
        <v>0</v>
      </c>
      <c r="CW1451">
        <v>957728</v>
      </c>
      <c r="CY1451">
        <v>1</v>
      </c>
      <c r="CZ1451">
        <v>0</v>
      </c>
      <c r="DA1451">
        <v>1</v>
      </c>
      <c r="DB1451">
        <v>0</v>
      </c>
      <c r="DC1451">
        <v>0</v>
      </c>
      <c r="DD1451">
        <v>1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>"12/16/2021 14:50:49.575"</f>
        <v>12/16/2021 14:50:49.575</v>
      </c>
      <c r="C1452" t="str">
        <f t="shared" si="70"/>
        <v>FFDFD3C0</v>
      </c>
      <c r="D1452" t="s">
        <v>133</v>
      </c>
      <c r="E1452">
        <v>44</v>
      </c>
      <c r="H1452">
        <v>131</v>
      </c>
      <c r="I1452" t="s">
        <v>134</v>
      </c>
      <c r="J1452" t="s">
        <v>135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"14:50:49.344"</f>
        <v>14:50:49.344</v>
      </c>
      <c r="T1452" t="str">
        <f>"14:50:48.944"</f>
        <v>14:50:48.944</v>
      </c>
      <c r="U1452" t="str">
        <f t="shared" si="72"/>
        <v>A0F928</v>
      </c>
      <c r="V1452">
        <v>0</v>
      </c>
      <c r="W1452">
        <v>0</v>
      </c>
      <c r="X1452">
        <v>2</v>
      </c>
      <c r="Z1452">
        <v>0</v>
      </c>
      <c r="AA1452">
        <v>9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2</v>
      </c>
      <c r="AH1452">
        <v>1</v>
      </c>
      <c r="AI1452" t="s">
        <v>800</v>
      </c>
      <c r="AJ1452">
        <v>35.794207999999998</v>
      </c>
      <c r="AK1452" t="s">
        <v>801</v>
      </c>
      <c r="AL1452">
        <v>-84.044251000000003</v>
      </c>
      <c r="AM1452">
        <v>25</v>
      </c>
      <c r="AN1452">
        <v>1575</v>
      </c>
      <c r="AO1452" t="s">
        <v>118</v>
      </c>
      <c r="AP1452">
        <v>-50</v>
      </c>
      <c r="AQ1452">
        <v>141</v>
      </c>
      <c r="AR1452">
        <v>-640</v>
      </c>
      <c r="AZ1452">
        <v>300</v>
      </c>
      <c r="BA1452">
        <v>1</v>
      </c>
      <c r="BB1452" t="str">
        <f t="shared" si="71"/>
        <v xml:space="preserve">N162AM  </v>
      </c>
      <c r="BC1452">
        <v>1</v>
      </c>
      <c r="BE1452">
        <v>0</v>
      </c>
      <c r="BF1452">
        <v>0</v>
      </c>
      <c r="BG1452">
        <v>0</v>
      </c>
      <c r="BH1452">
        <v>1825</v>
      </c>
      <c r="BI1452">
        <v>1</v>
      </c>
      <c r="BJ1452">
        <v>1</v>
      </c>
      <c r="BK1452">
        <v>1</v>
      </c>
      <c r="BL1452">
        <v>0</v>
      </c>
      <c r="BO1452">
        <v>0</v>
      </c>
      <c r="BP1452">
        <v>0</v>
      </c>
      <c r="BW1452" t="str">
        <f>"14:50:49.348"</f>
        <v>14:50:49.348</v>
      </c>
      <c r="CJ1452">
        <v>3</v>
      </c>
      <c r="CK1452">
        <v>2</v>
      </c>
      <c r="CL1452">
        <v>0</v>
      </c>
      <c r="CM1452">
        <v>2</v>
      </c>
      <c r="CN1452">
        <v>0</v>
      </c>
      <c r="CO1452">
        <v>2</v>
      </c>
      <c r="CP1452" t="s">
        <v>119</v>
      </c>
      <c r="CQ1452">
        <v>216</v>
      </c>
      <c r="CR1452">
        <v>0</v>
      </c>
      <c r="CW1452">
        <v>957728</v>
      </c>
      <c r="CY1452">
        <v>1</v>
      </c>
      <c r="CZ1452">
        <v>0</v>
      </c>
      <c r="DA1452">
        <v>1</v>
      </c>
      <c r="DB1452">
        <v>0</v>
      </c>
      <c r="DC1452">
        <v>0</v>
      </c>
      <c r="DD1452">
        <v>1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>"12/16/2021 14:50:49.575"</f>
        <v>12/16/2021 14:50:49.575</v>
      </c>
      <c r="C1453" t="str">
        <f t="shared" si="70"/>
        <v>FFDFD3C0</v>
      </c>
      <c r="D1453" t="s">
        <v>124</v>
      </c>
      <c r="E1453">
        <v>5</v>
      </c>
      <c r="F1453">
        <v>1005</v>
      </c>
      <c r="G1453" t="s">
        <v>114</v>
      </c>
      <c r="J1453" t="s">
        <v>125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>"14:50:49.344"</f>
        <v>14:50:49.344</v>
      </c>
      <c r="T1453" t="str">
        <f>"14:50:48.944"</f>
        <v>14:50:48.944</v>
      </c>
      <c r="U1453" t="str">
        <f t="shared" si="72"/>
        <v>A0F928</v>
      </c>
      <c r="V1453">
        <v>0</v>
      </c>
      <c r="W1453">
        <v>0</v>
      </c>
      <c r="X1453">
        <v>2</v>
      </c>
      <c r="Z1453">
        <v>0</v>
      </c>
      <c r="AA1453">
        <v>9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2</v>
      </c>
      <c r="AH1453">
        <v>1</v>
      </c>
      <c r="AI1453" t="s">
        <v>800</v>
      </c>
      <c r="AJ1453">
        <v>35.794207999999998</v>
      </c>
      <c r="AK1453" t="s">
        <v>801</v>
      </c>
      <c r="AL1453">
        <v>-84.044251000000003</v>
      </c>
      <c r="AM1453">
        <v>25</v>
      </c>
      <c r="AN1453">
        <v>1575</v>
      </c>
      <c r="AO1453" t="s">
        <v>118</v>
      </c>
      <c r="AP1453">
        <v>-50</v>
      </c>
      <c r="AQ1453">
        <v>141</v>
      </c>
      <c r="AR1453">
        <v>-640</v>
      </c>
      <c r="AZ1453">
        <v>300</v>
      </c>
      <c r="BA1453">
        <v>1</v>
      </c>
      <c r="BB1453" t="str">
        <f t="shared" si="71"/>
        <v xml:space="preserve">N162AM  </v>
      </c>
      <c r="BC1453">
        <v>1</v>
      </c>
      <c r="BE1453">
        <v>0</v>
      </c>
      <c r="BF1453">
        <v>0</v>
      </c>
      <c r="BG1453">
        <v>0</v>
      </c>
      <c r="BH1453">
        <v>1825</v>
      </c>
      <c r="BI1453">
        <v>1</v>
      </c>
      <c r="BJ1453">
        <v>1</v>
      </c>
      <c r="BK1453">
        <v>1</v>
      </c>
      <c r="BL1453">
        <v>0</v>
      </c>
      <c r="BO1453">
        <v>0</v>
      </c>
      <c r="BP1453">
        <v>0</v>
      </c>
      <c r="BW1453" t="str">
        <f>"14:50:49.348"</f>
        <v>14:50:49.348</v>
      </c>
      <c r="CJ1453">
        <v>3</v>
      </c>
      <c r="CK1453">
        <v>2</v>
      </c>
      <c r="CL1453">
        <v>0</v>
      </c>
      <c r="CM1453">
        <v>2</v>
      </c>
      <c r="CN1453">
        <v>0</v>
      </c>
      <c r="CO1453">
        <v>2</v>
      </c>
      <c r="CP1453" t="s">
        <v>119</v>
      </c>
      <c r="CQ1453">
        <v>216</v>
      </c>
      <c r="CR1453">
        <v>0</v>
      </c>
      <c r="CW1453">
        <v>957728</v>
      </c>
      <c r="CY1453">
        <v>1</v>
      </c>
      <c r="CZ1453">
        <v>0</v>
      </c>
      <c r="DA1453">
        <v>1</v>
      </c>
      <c r="DB1453">
        <v>0</v>
      </c>
      <c r="DC1453">
        <v>0</v>
      </c>
      <c r="DD1453">
        <v>1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>"12/16/2021 14:50:50.961"</f>
        <v>12/16/2021 14:50:50.961</v>
      </c>
      <c r="C1454" t="str">
        <f t="shared" ref="C1454:C1517" si="73">"FFDFD3C0"</f>
        <v>FFDFD3C0</v>
      </c>
      <c r="D1454" t="s">
        <v>133</v>
      </c>
      <c r="E1454">
        <v>44</v>
      </c>
      <c r="H1454">
        <v>131</v>
      </c>
      <c r="I1454" t="s">
        <v>134</v>
      </c>
      <c r="J1454" t="s">
        <v>135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>"14:50:50.789"</f>
        <v>14:50:50.789</v>
      </c>
      <c r="T1454" t="str">
        <f>"14:50:50.389"</f>
        <v>14:50:50.389</v>
      </c>
      <c r="U1454" t="str">
        <f t="shared" si="72"/>
        <v>A0F928</v>
      </c>
      <c r="V1454">
        <v>0</v>
      </c>
      <c r="W1454">
        <v>0</v>
      </c>
      <c r="X1454">
        <v>2</v>
      </c>
      <c r="Z1454">
        <v>0</v>
      </c>
      <c r="AA1454">
        <v>9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2</v>
      </c>
      <c r="AH1454">
        <v>1</v>
      </c>
      <c r="AI1454" t="s">
        <v>802</v>
      </c>
      <c r="AJ1454">
        <v>35.795195</v>
      </c>
      <c r="AK1454" t="s">
        <v>803</v>
      </c>
      <c r="AL1454">
        <v>-84.044616000000005</v>
      </c>
      <c r="AM1454">
        <v>25</v>
      </c>
      <c r="AN1454">
        <v>1550</v>
      </c>
      <c r="AO1454" t="s">
        <v>118</v>
      </c>
      <c r="AP1454">
        <v>-39</v>
      </c>
      <c r="AQ1454">
        <v>144</v>
      </c>
      <c r="AR1454">
        <v>-576</v>
      </c>
      <c r="AZ1454">
        <v>300</v>
      </c>
      <c r="BA1454">
        <v>1</v>
      </c>
      <c r="BB1454" t="str">
        <f t="shared" ref="BB1454:BB1517" si="74">"N162AM  "</f>
        <v xml:space="preserve">N162AM  </v>
      </c>
      <c r="BC1454">
        <v>1</v>
      </c>
      <c r="BE1454">
        <v>0</v>
      </c>
      <c r="BF1454">
        <v>0</v>
      </c>
      <c r="BG1454">
        <v>0</v>
      </c>
      <c r="BH1454">
        <v>1825</v>
      </c>
      <c r="BI1454">
        <v>1</v>
      </c>
      <c r="BJ1454">
        <v>1</v>
      </c>
      <c r="BK1454">
        <v>1</v>
      </c>
      <c r="BL1454">
        <v>0</v>
      </c>
      <c r="BO1454">
        <v>0</v>
      </c>
      <c r="BP1454">
        <v>0</v>
      </c>
      <c r="BW1454" t="str">
        <f>"14:50:50.794"</f>
        <v>14:50:50.794</v>
      </c>
      <c r="CJ1454">
        <v>3</v>
      </c>
      <c r="CK1454">
        <v>2</v>
      </c>
      <c r="CL1454">
        <v>0</v>
      </c>
      <c r="CM1454">
        <v>2</v>
      </c>
      <c r="CN1454">
        <v>0</v>
      </c>
      <c r="CO1454">
        <v>5</v>
      </c>
      <c r="CP1454" t="s">
        <v>119</v>
      </c>
      <c r="CQ1454">
        <v>232</v>
      </c>
      <c r="CR1454">
        <v>2</v>
      </c>
      <c r="CW1454">
        <v>6780137</v>
      </c>
      <c r="CY1454">
        <v>1</v>
      </c>
      <c r="CZ1454">
        <v>0</v>
      </c>
      <c r="DA1454">
        <v>0</v>
      </c>
      <c r="DB1454">
        <v>0</v>
      </c>
      <c r="DC1454">
        <v>0</v>
      </c>
      <c r="DD1454">
        <v>1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>"12/16/2021 14:50:50.961"</f>
        <v>12/16/2021 14:50:50.961</v>
      </c>
      <c r="C1455" t="str">
        <f t="shared" si="73"/>
        <v>FFDFD3C0</v>
      </c>
      <c r="D1455" t="s">
        <v>124</v>
      </c>
      <c r="E1455">
        <v>5</v>
      </c>
      <c r="F1455">
        <v>1005</v>
      </c>
      <c r="G1455" t="s">
        <v>114</v>
      </c>
      <c r="J1455" t="s">
        <v>125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>"14:50:50.789"</f>
        <v>14:50:50.789</v>
      </c>
      <c r="T1455" t="str">
        <f>"14:50:50.389"</f>
        <v>14:50:50.389</v>
      </c>
      <c r="U1455" t="str">
        <f t="shared" si="72"/>
        <v>A0F928</v>
      </c>
      <c r="V1455">
        <v>0</v>
      </c>
      <c r="W1455">
        <v>0</v>
      </c>
      <c r="X1455">
        <v>2</v>
      </c>
      <c r="Z1455">
        <v>0</v>
      </c>
      <c r="AA1455">
        <v>9</v>
      </c>
      <c r="AB1455">
        <v>3</v>
      </c>
      <c r="AC1455">
        <v>0</v>
      </c>
      <c r="AD1455">
        <v>10</v>
      </c>
      <c r="AE1455">
        <v>0</v>
      </c>
      <c r="AF1455">
        <v>3</v>
      </c>
      <c r="AG1455">
        <v>2</v>
      </c>
      <c r="AH1455">
        <v>1</v>
      </c>
      <c r="AI1455" t="s">
        <v>802</v>
      </c>
      <c r="AJ1455">
        <v>35.795195</v>
      </c>
      <c r="AK1455" t="s">
        <v>803</v>
      </c>
      <c r="AL1455">
        <v>-84.044616000000005</v>
      </c>
      <c r="AM1455">
        <v>25</v>
      </c>
      <c r="AN1455">
        <v>1550</v>
      </c>
      <c r="AO1455" t="s">
        <v>118</v>
      </c>
      <c r="AP1455">
        <v>-39</v>
      </c>
      <c r="AQ1455">
        <v>144</v>
      </c>
      <c r="AR1455">
        <v>-576</v>
      </c>
      <c r="AZ1455">
        <v>300</v>
      </c>
      <c r="BA1455">
        <v>1</v>
      </c>
      <c r="BB1455" t="str">
        <f t="shared" si="74"/>
        <v xml:space="preserve">N162AM  </v>
      </c>
      <c r="BC1455">
        <v>1</v>
      </c>
      <c r="BE1455">
        <v>0</v>
      </c>
      <c r="BF1455">
        <v>0</v>
      </c>
      <c r="BG1455">
        <v>0</v>
      </c>
      <c r="BH1455">
        <v>1825</v>
      </c>
      <c r="BI1455">
        <v>1</v>
      </c>
      <c r="BJ1455">
        <v>1</v>
      </c>
      <c r="BK1455">
        <v>1</v>
      </c>
      <c r="BL1455">
        <v>0</v>
      </c>
      <c r="BO1455">
        <v>0</v>
      </c>
      <c r="BP1455">
        <v>0</v>
      </c>
      <c r="BW1455" t="str">
        <f>"14:50:50.794"</f>
        <v>14:50:50.794</v>
      </c>
      <c r="CJ1455">
        <v>3</v>
      </c>
      <c r="CK1455">
        <v>2</v>
      </c>
      <c r="CL1455">
        <v>0</v>
      </c>
      <c r="CM1455">
        <v>2</v>
      </c>
      <c r="CN1455">
        <v>0</v>
      </c>
      <c r="CO1455">
        <v>5</v>
      </c>
      <c r="CP1455" t="s">
        <v>119</v>
      </c>
      <c r="CQ1455">
        <v>232</v>
      </c>
      <c r="CR1455">
        <v>2</v>
      </c>
      <c r="CW1455">
        <v>6780137</v>
      </c>
      <c r="CY1455">
        <v>1</v>
      </c>
      <c r="CZ1455">
        <v>0</v>
      </c>
      <c r="DA1455">
        <v>1</v>
      </c>
      <c r="DB1455">
        <v>0</v>
      </c>
      <c r="DC1455">
        <v>0</v>
      </c>
      <c r="DD1455">
        <v>1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>"12/16/2021 14:50:51.023"</f>
        <v>12/16/2021 14:50:51.023</v>
      </c>
      <c r="C1456" t="str">
        <f t="shared" si="73"/>
        <v>FFDFD3C0</v>
      </c>
      <c r="D1456" t="s">
        <v>113</v>
      </c>
      <c r="E1456">
        <v>8</v>
      </c>
      <c r="H1456">
        <v>176</v>
      </c>
      <c r="I1456" t="s">
        <v>114</v>
      </c>
      <c r="J1456" t="s">
        <v>115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>"14:50:50.789"</f>
        <v>14:50:50.789</v>
      </c>
      <c r="T1456" t="str">
        <f>"14:50:50.389"</f>
        <v>14:50:50.389</v>
      </c>
      <c r="U1456" t="str">
        <f t="shared" si="72"/>
        <v>A0F928</v>
      </c>
      <c r="V1456">
        <v>0</v>
      </c>
      <c r="W1456">
        <v>0</v>
      </c>
      <c r="X1456">
        <v>2</v>
      </c>
      <c r="Z1456">
        <v>0</v>
      </c>
      <c r="AA1456">
        <v>9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2</v>
      </c>
      <c r="AH1456">
        <v>1</v>
      </c>
      <c r="AI1456" t="s">
        <v>802</v>
      </c>
      <c r="AJ1456">
        <v>35.795195</v>
      </c>
      <c r="AK1456" t="s">
        <v>803</v>
      </c>
      <c r="AL1456">
        <v>-84.044616000000005</v>
      </c>
      <c r="AM1456">
        <v>25</v>
      </c>
      <c r="AN1456">
        <v>1550</v>
      </c>
      <c r="AO1456" t="s">
        <v>118</v>
      </c>
      <c r="AP1456">
        <v>-39</v>
      </c>
      <c r="AQ1456">
        <v>144</v>
      </c>
      <c r="AR1456">
        <v>-576</v>
      </c>
      <c r="AZ1456">
        <v>300</v>
      </c>
      <c r="BA1456">
        <v>1</v>
      </c>
      <c r="BB1456" t="str">
        <f t="shared" si="74"/>
        <v xml:space="preserve">N162AM  </v>
      </c>
      <c r="BC1456">
        <v>1</v>
      </c>
      <c r="BE1456">
        <v>0</v>
      </c>
      <c r="BF1456">
        <v>0</v>
      </c>
      <c r="BG1456">
        <v>0</v>
      </c>
      <c r="BH1456">
        <v>1825</v>
      </c>
      <c r="BI1456">
        <v>1</v>
      </c>
      <c r="BJ1456">
        <v>1</v>
      </c>
      <c r="BK1456">
        <v>1</v>
      </c>
      <c r="BL1456">
        <v>0</v>
      </c>
      <c r="BO1456">
        <v>0</v>
      </c>
      <c r="BP1456">
        <v>0</v>
      </c>
      <c r="BW1456" t="str">
        <f>"14:50:50.794"</f>
        <v>14:50:50.794</v>
      </c>
      <c r="CJ1456">
        <v>3</v>
      </c>
      <c r="CK1456">
        <v>2</v>
      </c>
      <c r="CL1456">
        <v>0</v>
      </c>
      <c r="CM1456">
        <v>2</v>
      </c>
      <c r="CN1456">
        <v>0</v>
      </c>
      <c r="CO1456">
        <v>5</v>
      </c>
      <c r="CP1456" t="s">
        <v>119</v>
      </c>
      <c r="CQ1456">
        <v>232</v>
      </c>
      <c r="CR1456">
        <v>2</v>
      </c>
      <c r="CW1456">
        <v>6780137</v>
      </c>
      <c r="CY1456">
        <v>1</v>
      </c>
      <c r="CZ1456">
        <v>0</v>
      </c>
      <c r="DA1456">
        <v>1</v>
      </c>
      <c r="DB1456">
        <v>0</v>
      </c>
      <c r="DC1456">
        <v>0</v>
      </c>
      <c r="DD1456">
        <v>1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>"12/16/2021 14:50:51.023"</f>
        <v>12/16/2021 14:50:51.023</v>
      </c>
      <c r="C1457" t="str">
        <f t="shared" si="73"/>
        <v>FFDFD3C0</v>
      </c>
      <c r="D1457" t="s">
        <v>124</v>
      </c>
      <c r="E1457">
        <v>10</v>
      </c>
      <c r="F1457">
        <v>1010</v>
      </c>
      <c r="G1457" t="s">
        <v>130</v>
      </c>
      <c r="J1457" t="s">
        <v>125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>"14:50:50.789"</f>
        <v>14:50:50.789</v>
      </c>
      <c r="T1457" t="str">
        <f>"14:50:50.389"</f>
        <v>14:50:50.389</v>
      </c>
      <c r="U1457" t="str">
        <f t="shared" si="72"/>
        <v>A0F928</v>
      </c>
      <c r="V1457">
        <v>0</v>
      </c>
      <c r="W1457">
        <v>0</v>
      </c>
      <c r="X1457">
        <v>2</v>
      </c>
      <c r="Z1457">
        <v>0</v>
      </c>
      <c r="AA1457">
        <v>9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2</v>
      </c>
      <c r="AH1457">
        <v>1</v>
      </c>
      <c r="AI1457" t="s">
        <v>802</v>
      </c>
      <c r="AJ1457">
        <v>35.795195</v>
      </c>
      <c r="AK1457" t="s">
        <v>803</v>
      </c>
      <c r="AL1457">
        <v>-84.044616000000005</v>
      </c>
      <c r="AM1457">
        <v>25</v>
      </c>
      <c r="AN1457">
        <v>1550</v>
      </c>
      <c r="AO1457" t="s">
        <v>118</v>
      </c>
      <c r="AP1457">
        <v>-39</v>
      </c>
      <c r="AQ1457">
        <v>144</v>
      </c>
      <c r="AR1457">
        <v>-576</v>
      </c>
      <c r="AZ1457">
        <v>300</v>
      </c>
      <c r="BA1457">
        <v>1</v>
      </c>
      <c r="BB1457" t="str">
        <f t="shared" si="74"/>
        <v xml:space="preserve">N162AM  </v>
      </c>
      <c r="BC1457">
        <v>1</v>
      </c>
      <c r="BE1457">
        <v>0</v>
      </c>
      <c r="BF1457">
        <v>0</v>
      </c>
      <c r="BG1457">
        <v>0</v>
      </c>
      <c r="BH1457">
        <v>1825</v>
      </c>
      <c r="BI1457">
        <v>1</v>
      </c>
      <c r="BJ1457">
        <v>1</v>
      </c>
      <c r="BK1457">
        <v>1</v>
      </c>
      <c r="BL1457">
        <v>0</v>
      </c>
      <c r="BO1457">
        <v>0</v>
      </c>
      <c r="BP1457">
        <v>0</v>
      </c>
      <c r="BW1457" t="str">
        <f>"14:50:50.794"</f>
        <v>14:50:50.794</v>
      </c>
      <c r="CJ1457">
        <v>3</v>
      </c>
      <c r="CK1457">
        <v>2</v>
      </c>
      <c r="CL1457">
        <v>0</v>
      </c>
      <c r="CM1457">
        <v>2</v>
      </c>
      <c r="CN1457">
        <v>0</v>
      </c>
      <c r="CO1457">
        <v>5</v>
      </c>
      <c r="CP1457" t="s">
        <v>119</v>
      </c>
      <c r="CQ1457">
        <v>232</v>
      </c>
      <c r="CR1457">
        <v>2</v>
      </c>
      <c r="CW1457">
        <v>6780137</v>
      </c>
      <c r="CY1457">
        <v>1</v>
      </c>
      <c r="CZ1457">
        <v>0</v>
      </c>
      <c r="DA1457">
        <v>1</v>
      </c>
      <c r="DB1457">
        <v>0</v>
      </c>
      <c r="DC1457">
        <v>0</v>
      </c>
      <c r="DD1457">
        <v>1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>"12/16/2021 14:50:51.930"</f>
        <v>12/16/2021 14:50:51.930</v>
      </c>
      <c r="C1458" t="str">
        <f t="shared" si="73"/>
        <v>FFDFD3C0</v>
      </c>
      <c r="D1458" t="s">
        <v>113</v>
      </c>
      <c r="E1458">
        <v>8</v>
      </c>
      <c r="H1458">
        <v>176</v>
      </c>
      <c r="I1458" t="s">
        <v>114</v>
      </c>
      <c r="J1458" t="s">
        <v>115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>"14:50:51.688"</f>
        <v>14:50:51.688</v>
      </c>
      <c r="T1458" t="str">
        <f>"14:50:51.288"</f>
        <v>14:50:51.288</v>
      </c>
      <c r="U1458" t="str">
        <f t="shared" si="72"/>
        <v>A0F928</v>
      </c>
      <c r="V1458">
        <v>0</v>
      </c>
      <c r="W1458">
        <v>0</v>
      </c>
      <c r="X1458">
        <v>2</v>
      </c>
      <c r="Z1458">
        <v>0</v>
      </c>
      <c r="AA1458">
        <v>9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2</v>
      </c>
      <c r="AH1458">
        <v>1</v>
      </c>
      <c r="AI1458" t="s">
        <v>804</v>
      </c>
      <c r="AJ1458">
        <v>35.795774000000002</v>
      </c>
      <c r="AK1458" t="s">
        <v>805</v>
      </c>
      <c r="AL1458">
        <v>-84.044765999999996</v>
      </c>
      <c r="AM1458">
        <v>25</v>
      </c>
      <c r="AN1458">
        <v>1550</v>
      </c>
      <c r="AO1458" t="s">
        <v>118</v>
      </c>
      <c r="AP1458">
        <v>-33</v>
      </c>
      <c r="AQ1458">
        <v>145</v>
      </c>
      <c r="AR1458">
        <v>-512</v>
      </c>
      <c r="AZ1458">
        <v>300</v>
      </c>
      <c r="BA1458">
        <v>1</v>
      </c>
      <c r="BB1458" t="str">
        <f t="shared" si="74"/>
        <v xml:space="preserve">N162AM  </v>
      </c>
      <c r="BC1458">
        <v>1</v>
      </c>
      <c r="BE1458">
        <v>0</v>
      </c>
      <c r="BF1458">
        <v>0</v>
      </c>
      <c r="BG1458">
        <v>0</v>
      </c>
      <c r="BH1458">
        <v>1825</v>
      </c>
      <c r="BI1458">
        <v>1</v>
      </c>
      <c r="BJ1458">
        <v>1</v>
      </c>
      <c r="BK1458">
        <v>1</v>
      </c>
      <c r="BL1458">
        <v>0</v>
      </c>
      <c r="BO1458">
        <v>0</v>
      </c>
      <c r="BP1458">
        <v>0</v>
      </c>
      <c r="BW1458" t="str">
        <f>"14:50:51.694"</f>
        <v>14:50:51.694</v>
      </c>
      <c r="CJ1458">
        <v>3</v>
      </c>
      <c r="CK1458">
        <v>2</v>
      </c>
      <c r="CL1458">
        <v>0</v>
      </c>
      <c r="CM1458">
        <v>2</v>
      </c>
      <c r="CN1458">
        <v>0</v>
      </c>
      <c r="CO1458">
        <v>5</v>
      </c>
      <c r="CP1458" t="s">
        <v>119</v>
      </c>
      <c r="CQ1458">
        <v>232</v>
      </c>
      <c r="CR1458">
        <v>2</v>
      </c>
      <c r="CW1458">
        <v>6781503</v>
      </c>
      <c r="CY1458">
        <v>1</v>
      </c>
      <c r="CZ1458">
        <v>0</v>
      </c>
      <c r="DA1458">
        <v>0</v>
      </c>
      <c r="DB1458">
        <v>0</v>
      </c>
      <c r="DC1458">
        <v>0</v>
      </c>
      <c r="DD1458">
        <v>1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>"12/16/2021 14:50:51.930"</f>
        <v>12/16/2021 14:50:51.930</v>
      </c>
      <c r="C1459" t="str">
        <f t="shared" si="73"/>
        <v>FFDFD3C0</v>
      </c>
      <c r="D1459" t="s">
        <v>124</v>
      </c>
      <c r="E1459">
        <v>10</v>
      </c>
      <c r="F1459">
        <v>1010</v>
      </c>
      <c r="G1459" t="s">
        <v>130</v>
      </c>
      <c r="J1459" t="s">
        <v>125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>"14:50:51.688"</f>
        <v>14:50:51.688</v>
      </c>
      <c r="T1459" t="str">
        <f>"14:50:51.288"</f>
        <v>14:50:51.288</v>
      </c>
      <c r="U1459" t="str">
        <f t="shared" si="72"/>
        <v>A0F928</v>
      </c>
      <c r="V1459">
        <v>0</v>
      </c>
      <c r="W1459">
        <v>0</v>
      </c>
      <c r="X1459">
        <v>2</v>
      </c>
      <c r="Z1459">
        <v>0</v>
      </c>
      <c r="AA1459">
        <v>9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2</v>
      </c>
      <c r="AH1459">
        <v>1</v>
      </c>
      <c r="AI1459" t="s">
        <v>804</v>
      </c>
      <c r="AJ1459">
        <v>35.795774000000002</v>
      </c>
      <c r="AK1459" t="s">
        <v>805</v>
      </c>
      <c r="AL1459">
        <v>-84.044765999999996</v>
      </c>
      <c r="AM1459">
        <v>25</v>
      </c>
      <c r="AN1459">
        <v>1550</v>
      </c>
      <c r="AO1459" t="s">
        <v>118</v>
      </c>
      <c r="AP1459">
        <v>-33</v>
      </c>
      <c r="AQ1459">
        <v>145</v>
      </c>
      <c r="AR1459">
        <v>-512</v>
      </c>
      <c r="AZ1459">
        <v>300</v>
      </c>
      <c r="BA1459">
        <v>1</v>
      </c>
      <c r="BB1459" t="str">
        <f t="shared" si="74"/>
        <v xml:space="preserve">N162AM  </v>
      </c>
      <c r="BC1459">
        <v>1</v>
      </c>
      <c r="BE1459">
        <v>0</v>
      </c>
      <c r="BF1459">
        <v>0</v>
      </c>
      <c r="BG1459">
        <v>0</v>
      </c>
      <c r="BH1459">
        <v>1825</v>
      </c>
      <c r="BI1459">
        <v>1</v>
      </c>
      <c r="BJ1459">
        <v>1</v>
      </c>
      <c r="BK1459">
        <v>1</v>
      </c>
      <c r="BL1459">
        <v>0</v>
      </c>
      <c r="BO1459">
        <v>0</v>
      </c>
      <c r="BP1459">
        <v>0</v>
      </c>
      <c r="BW1459" t="str">
        <f>"14:50:51.694"</f>
        <v>14:50:51.694</v>
      </c>
      <c r="CJ1459">
        <v>3</v>
      </c>
      <c r="CK1459">
        <v>2</v>
      </c>
      <c r="CL1459">
        <v>0</v>
      </c>
      <c r="CM1459">
        <v>2</v>
      </c>
      <c r="CN1459">
        <v>0</v>
      </c>
      <c r="CO1459">
        <v>5</v>
      </c>
      <c r="CP1459" t="s">
        <v>119</v>
      </c>
      <c r="CQ1459">
        <v>232</v>
      </c>
      <c r="CR1459">
        <v>2</v>
      </c>
      <c r="CW1459">
        <v>6781503</v>
      </c>
      <c r="CY1459">
        <v>1</v>
      </c>
      <c r="CZ1459">
        <v>0</v>
      </c>
      <c r="DA1459">
        <v>1</v>
      </c>
      <c r="DB1459">
        <v>0</v>
      </c>
      <c r="DC1459">
        <v>0</v>
      </c>
      <c r="DD1459">
        <v>1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>"12/16/2021 14:50:51.930"</f>
        <v>12/16/2021 14:50:51.930</v>
      </c>
      <c r="C1460" t="str">
        <f t="shared" si="73"/>
        <v>FFDFD3C0</v>
      </c>
      <c r="D1460" t="s">
        <v>133</v>
      </c>
      <c r="E1460">
        <v>44</v>
      </c>
      <c r="H1460">
        <v>131</v>
      </c>
      <c r="I1460" t="s">
        <v>134</v>
      </c>
      <c r="J1460" t="s">
        <v>135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>"14:50:51.688"</f>
        <v>14:50:51.688</v>
      </c>
      <c r="T1460" t="str">
        <f>"14:50:51.288"</f>
        <v>14:50:51.288</v>
      </c>
      <c r="U1460" t="str">
        <f t="shared" si="72"/>
        <v>A0F928</v>
      </c>
      <c r="V1460">
        <v>0</v>
      </c>
      <c r="W1460">
        <v>0</v>
      </c>
      <c r="X1460">
        <v>2</v>
      </c>
      <c r="Z1460">
        <v>0</v>
      </c>
      <c r="AA1460">
        <v>9</v>
      </c>
      <c r="AB1460">
        <v>3</v>
      </c>
      <c r="AC1460">
        <v>0</v>
      </c>
      <c r="AD1460">
        <v>10</v>
      </c>
      <c r="AE1460">
        <v>0</v>
      </c>
      <c r="AF1460">
        <v>3</v>
      </c>
      <c r="AG1460">
        <v>2</v>
      </c>
      <c r="AH1460">
        <v>1</v>
      </c>
      <c r="AI1460" t="s">
        <v>804</v>
      </c>
      <c r="AJ1460">
        <v>35.795774000000002</v>
      </c>
      <c r="AK1460" t="s">
        <v>805</v>
      </c>
      <c r="AL1460">
        <v>-84.044765999999996</v>
      </c>
      <c r="AM1460">
        <v>25</v>
      </c>
      <c r="AN1460">
        <v>1550</v>
      </c>
      <c r="AO1460" t="s">
        <v>118</v>
      </c>
      <c r="AP1460">
        <v>-33</v>
      </c>
      <c r="AQ1460">
        <v>145</v>
      </c>
      <c r="AR1460">
        <v>-512</v>
      </c>
      <c r="AZ1460">
        <v>300</v>
      </c>
      <c r="BA1460">
        <v>1</v>
      </c>
      <c r="BB1460" t="str">
        <f t="shared" si="74"/>
        <v xml:space="preserve">N162AM  </v>
      </c>
      <c r="BC1460">
        <v>1</v>
      </c>
      <c r="BE1460">
        <v>0</v>
      </c>
      <c r="BF1460">
        <v>0</v>
      </c>
      <c r="BG1460">
        <v>0</v>
      </c>
      <c r="BH1460">
        <v>1825</v>
      </c>
      <c r="BI1460">
        <v>1</v>
      </c>
      <c r="BJ1460">
        <v>1</v>
      </c>
      <c r="BK1460">
        <v>1</v>
      </c>
      <c r="BL1460">
        <v>0</v>
      </c>
      <c r="BO1460">
        <v>0</v>
      </c>
      <c r="BP1460">
        <v>0</v>
      </c>
      <c r="BW1460" t="str">
        <f>"14:50:51.694"</f>
        <v>14:50:51.694</v>
      </c>
      <c r="CJ1460">
        <v>3</v>
      </c>
      <c r="CK1460">
        <v>2</v>
      </c>
      <c r="CL1460">
        <v>0</v>
      </c>
      <c r="CM1460">
        <v>2</v>
      </c>
      <c r="CN1460">
        <v>0</v>
      </c>
      <c r="CO1460">
        <v>5</v>
      </c>
      <c r="CP1460" t="s">
        <v>119</v>
      </c>
      <c r="CQ1460">
        <v>232</v>
      </c>
      <c r="CR1460">
        <v>2</v>
      </c>
      <c r="CW1460">
        <v>6781503</v>
      </c>
      <c r="CY1460">
        <v>1</v>
      </c>
      <c r="CZ1460">
        <v>0</v>
      </c>
      <c r="DA1460">
        <v>1</v>
      </c>
      <c r="DB1460">
        <v>0</v>
      </c>
      <c r="DC1460">
        <v>0</v>
      </c>
      <c r="DD1460">
        <v>1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>"12/16/2021 14:50:51.930"</f>
        <v>12/16/2021 14:50:51.930</v>
      </c>
      <c r="C1461" t="str">
        <f t="shared" si="73"/>
        <v>FFDFD3C0</v>
      </c>
      <c r="D1461" t="s">
        <v>124</v>
      </c>
      <c r="E1461">
        <v>5</v>
      </c>
      <c r="F1461">
        <v>1005</v>
      </c>
      <c r="G1461" t="s">
        <v>114</v>
      </c>
      <c r="J1461" t="s">
        <v>125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>"14:50:51.688"</f>
        <v>14:50:51.688</v>
      </c>
      <c r="T1461" t="str">
        <f>"14:50:51.288"</f>
        <v>14:50:51.288</v>
      </c>
      <c r="U1461" t="str">
        <f t="shared" si="72"/>
        <v>A0F928</v>
      </c>
      <c r="V1461">
        <v>0</v>
      </c>
      <c r="W1461">
        <v>0</v>
      </c>
      <c r="X1461">
        <v>2</v>
      </c>
      <c r="Z1461">
        <v>0</v>
      </c>
      <c r="AA1461">
        <v>9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2</v>
      </c>
      <c r="AH1461">
        <v>1</v>
      </c>
      <c r="AI1461" t="s">
        <v>804</v>
      </c>
      <c r="AJ1461">
        <v>35.795774000000002</v>
      </c>
      <c r="AK1461" t="s">
        <v>805</v>
      </c>
      <c r="AL1461">
        <v>-84.044765999999996</v>
      </c>
      <c r="AM1461">
        <v>25</v>
      </c>
      <c r="AN1461">
        <v>1550</v>
      </c>
      <c r="AO1461" t="s">
        <v>118</v>
      </c>
      <c r="AP1461">
        <v>-33</v>
      </c>
      <c r="AQ1461">
        <v>145</v>
      </c>
      <c r="AR1461">
        <v>-512</v>
      </c>
      <c r="AZ1461">
        <v>300</v>
      </c>
      <c r="BA1461">
        <v>1</v>
      </c>
      <c r="BB1461" t="str">
        <f t="shared" si="74"/>
        <v xml:space="preserve">N162AM  </v>
      </c>
      <c r="BC1461">
        <v>1</v>
      </c>
      <c r="BE1461">
        <v>0</v>
      </c>
      <c r="BF1461">
        <v>0</v>
      </c>
      <c r="BG1461">
        <v>0</v>
      </c>
      <c r="BH1461">
        <v>1825</v>
      </c>
      <c r="BI1461">
        <v>1</v>
      </c>
      <c r="BJ1461">
        <v>1</v>
      </c>
      <c r="BK1461">
        <v>1</v>
      </c>
      <c r="BL1461">
        <v>0</v>
      </c>
      <c r="BO1461">
        <v>0</v>
      </c>
      <c r="BP1461">
        <v>0</v>
      </c>
      <c r="BW1461" t="str">
        <f>"14:50:51.694"</f>
        <v>14:50:51.694</v>
      </c>
      <c r="CJ1461">
        <v>3</v>
      </c>
      <c r="CK1461">
        <v>2</v>
      </c>
      <c r="CL1461">
        <v>0</v>
      </c>
      <c r="CM1461">
        <v>2</v>
      </c>
      <c r="CN1461">
        <v>0</v>
      </c>
      <c r="CO1461">
        <v>5</v>
      </c>
      <c r="CP1461" t="s">
        <v>119</v>
      </c>
      <c r="CQ1461">
        <v>232</v>
      </c>
      <c r="CR1461">
        <v>2</v>
      </c>
      <c r="CW1461">
        <v>6781503</v>
      </c>
      <c r="CY1461">
        <v>1</v>
      </c>
      <c r="CZ1461">
        <v>0</v>
      </c>
      <c r="DA1461">
        <v>1</v>
      </c>
      <c r="DB1461">
        <v>0</v>
      </c>
      <c r="DC1461">
        <v>0</v>
      </c>
      <c r="DD1461">
        <v>1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>"12/16/2021 14:50:52.992"</f>
        <v>12/16/2021 14:50:52.992</v>
      </c>
      <c r="C1462" t="str">
        <f t="shared" si="73"/>
        <v>FFDFD3C0</v>
      </c>
      <c r="D1462" t="s">
        <v>113</v>
      </c>
      <c r="E1462">
        <v>8</v>
      </c>
      <c r="H1462">
        <v>176</v>
      </c>
      <c r="I1462" t="s">
        <v>114</v>
      </c>
      <c r="J1462" t="s">
        <v>115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>"14:50:52.766"</f>
        <v>14:50:52.766</v>
      </c>
      <c r="T1462" t="str">
        <f>"14:50:52.266"</f>
        <v>14:50:52.266</v>
      </c>
      <c r="U1462" t="str">
        <f t="shared" si="72"/>
        <v>A0F928</v>
      </c>
      <c r="V1462">
        <v>0</v>
      </c>
      <c r="W1462">
        <v>0</v>
      </c>
      <c r="X1462">
        <v>2</v>
      </c>
      <c r="Z1462">
        <v>0</v>
      </c>
      <c r="AA1462">
        <v>9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2</v>
      </c>
      <c r="AH1462">
        <v>1</v>
      </c>
      <c r="AI1462" t="s">
        <v>806</v>
      </c>
      <c r="AJ1462">
        <v>35.796525000000003</v>
      </c>
      <c r="AK1462" t="s">
        <v>807</v>
      </c>
      <c r="AL1462">
        <v>-84.044894999999997</v>
      </c>
      <c r="AM1462">
        <v>25</v>
      </c>
      <c r="AN1462">
        <v>1550</v>
      </c>
      <c r="AO1462" t="s">
        <v>118</v>
      </c>
      <c r="AP1462">
        <v>-25</v>
      </c>
      <c r="AQ1462">
        <v>147</v>
      </c>
      <c r="AR1462">
        <v>-384</v>
      </c>
      <c r="AZ1462">
        <v>300</v>
      </c>
      <c r="BA1462">
        <v>1</v>
      </c>
      <c r="BB1462" t="str">
        <f t="shared" si="74"/>
        <v xml:space="preserve">N162AM  </v>
      </c>
      <c r="BC1462">
        <v>1</v>
      </c>
      <c r="BE1462">
        <v>0</v>
      </c>
      <c r="BF1462">
        <v>0</v>
      </c>
      <c r="BG1462">
        <v>0</v>
      </c>
      <c r="BH1462">
        <v>1800</v>
      </c>
      <c r="BI1462">
        <v>1</v>
      </c>
      <c r="BJ1462">
        <v>1</v>
      </c>
      <c r="BK1462">
        <v>1</v>
      </c>
      <c r="BL1462">
        <v>0</v>
      </c>
      <c r="BO1462">
        <v>0</v>
      </c>
      <c r="BP1462">
        <v>0</v>
      </c>
      <c r="BW1462" t="str">
        <f>"14:50:52.770"</f>
        <v>14:50:52.770</v>
      </c>
      <c r="CJ1462">
        <v>3</v>
      </c>
      <c r="CK1462">
        <v>2</v>
      </c>
      <c r="CL1462">
        <v>0</v>
      </c>
      <c r="CM1462">
        <v>2</v>
      </c>
      <c r="CN1462">
        <v>0</v>
      </c>
      <c r="CO1462">
        <v>5</v>
      </c>
      <c r="CP1462" t="s">
        <v>119</v>
      </c>
      <c r="CQ1462">
        <v>232</v>
      </c>
      <c r="CR1462">
        <v>2</v>
      </c>
      <c r="CW1462">
        <v>6783287</v>
      </c>
      <c r="CY1462">
        <v>1</v>
      </c>
      <c r="CZ1462">
        <v>0</v>
      </c>
      <c r="DA1462">
        <v>0</v>
      </c>
      <c r="DB1462">
        <v>0</v>
      </c>
      <c r="DC1462">
        <v>0</v>
      </c>
      <c r="DD1462">
        <v>1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>"12/16/2021 14:50:52.992"</f>
        <v>12/16/2021 14:50:52.992</v>
      </c>
      <c r="C1463" t="str">
        <f t="shared" si="73"/>
        <v>FFDFD3C0</v>
      </c>
      <c r="D1463" t="s">
        <v>124</v>
      </c>
      <c r="E1463">
        <v>10</v>
      </c>
      <c r="F1463">
        <v>1010</v>
      </c>
      <c r="G1463" t="s">
        <v>130</v>
      </c>
      <c r="J1463" t="s">
        <v>125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>"14:50:52.766"</f>
        <v>14:50:52.766</v>
      </c>
      <c r="T1463" t="str">
        <f>"14:50:52.266"</f>
        <v>14:50:52.266</v>
      </c>
      <c r="U1463" t="str">
        <f t="shared" si="72"/>
        <v>A0F928</v>
      </c>
      <c r="V1463">
        <v>0</v>
      </c>
      <c r="W1463">
        <v>0</v>
      </c>
      <c r="X1463">
        <v>2</v>
      </c>
      <c r="Z1463">
        <v>0</v>
      </c>
      <c r="AA1463">
        <v>9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2</v>
      </c>
      <c r="AH1463">
        <v>1</v>
      </c>
      <c r="AI1463" t="s">
        <v>806</v>
      </c>
      <c r="AJ1463">
        <v>35.796525000000003</v>
      </c>
      <c r="AK1463" t="s">
        <v>807</v>
      </c>
      <c r="AL1463">
        <v>-84.044894999999997</v>
      </c>
      <c r="AM1463">
        <v>25</v>
      </c>
      <c r="AN1463">
        <v>1550</v>
      </c>
      <c r="AO1463" t="s">
        <v>118</v>
      </c>
      <c r="AP1463">
        <v>-25</v>
      </c>
      <c r="AQ1463">
        <v>147</v>
      </c>
      <c r="AR1463">
        <v>-384</v>
      </c>
      <c r="AZ1463">
        <v>300</v>
      </c>
      <c r="BA1463">
        <v>1</v>
      </c>
      <c r="BB1463" t="str">
        <f t="shared" si="74"/>
        <v xml:space="preserve">N162AM  </v>
      </c>
      <c r="BC1463">
        <v>1</v>
      </c>
      <c r="BE1463">
        <v>0</v>
      </c>
      <c r="BF1463">
        <v>0</v>
      </c>
      <c r="BG1463">
        <v>0</v>
      </c>
      <c r="BH1463">
        <v>1800</v>
      </c>
      <c r="BI1463">
        <v>1</v>
      </c>
      <c r="BJ1463">
        <v>1</v>
      </c>
      <c r="BK1463">
        <v>1</v>
      </c>
      <c r="BL1463">
        <v>0</v>
      </c>
      <c r="BO1463">
        <v>0</v>
      </c>
      <c r="BP1463">
        <v>0</v>
      </c>
      <c r="BW1463" t="str">
        <f>"14:50:52.770"</f>
        <v>14:50:52.770</v>
      </c>
      <c r="CJ1463">
        <v>3</v>
      </c>
      <c r="CK1463">
        <v>2</v>
      </c>
      <c r="CL1463">
        <v>0</v>
      </c>
      <c r="CM1463">
        <v>2</v>
      </c>
      <c r="CN1463">
        <v>0</v>
      </c>
      <c r="CO1463">
        <v>5</v>
      </c>
      <c r="CP1463" t="s">
        <v>119</v>
      </c>
      <c r="CQ1463">
        <v>232</v>
      </c>
      <c r="CR1463">
        <v>2</v>
      </c>
      <c r="CW1463">
        <v>6783287</v>
      </c>
      <c r="CY1463">
        <v>1</v>
      </c>
      <c r="CZ1463">
        <v>0</v>
      </c>
      <c r="DA1463">
        <v>1</v>
      </c>
      <c r="DB1463">
        <v>0</v>
      </c>
      <c r="DC1463">
        <v>0</v>
      </c>
      <c r="DD1463">
        <v>1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>"12/16/2021 14:50:52.992"</f>
        <v>12/16/2021 14:50:52.992</v>
      </c>
      <c r="C1464" t="str">
        <f t="shared" si="73"/>
        <v>FFDFD3C0</v>
      </c>
      <c r="D1464" t="s">
        <v>124</v>
      </c>
      <c r="E1464">
        <v>5</v>
      </c>
      <c r="F1464">
        <v>1005</v>
      </c>
      <c r="G1464" t="s">
        <v>114</v>
      </c>
      <c r="J1464" t="s">
        <v>125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"14:50:52.766"</f>
        <v>14:50:52.766</v>
      </c>
      <c r="T1464" t="str">
        <f>"14:50:52.266"</f>
        <v>14:50:52.266</v>
      </c>
      <c r="U1464" t="str">
        <f t="shared" si="72"/>
        <v>A0F928</v>
      </c>
      <c r="V1464">
        <v>0</v>
      </c>
      <c r="W1464">
        <v>0</v>
      </c>
      <c r="X1464">
        <v>2</v>
      </c>
      <c r="Z1464">
        <v>0</v>
      </c>
      <c r="AA1464">
        <v>9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2</v>
      </c>
      <c r="AH1464">
        <v>1</v>
      </c>
      <c r="AI1464" t="s">
        <v>806</v>
      </c>
      <c r="AJ1464">
        <v>35.796525000000003</v>
      </c>
      <c r="AK1464" t="s">
        <v>807</v>
      </c>
      <c r="AL1464">
        <v>-84.044894999999997</v>
      </c>
      <c r="AM1464">
        <v>25</v>
      </c>
      <c r="AN1464">
        <v>1550</v>
      </c>
      <c r="AO1464" t="s">
        <v>118</v>
      </c>
      <c r="AP1464">
        <v>-25</v>
      </c>
      <c r="AQ1464">
        <v>147</v>
      </c>
      <c r="AR1464">
        <v>-384</v>
      </c>
      <c r="AZ1464">
        <v>300</v>
      </c>
      <c r="BA1464">
        <v>1</v>
      </c>
      <c r="BB1464" t="str">
        <f t="shared" si="74"/>
        <v xml:space="preserve">N162AM  </v>
      </c>
      <c r="BC1464">
        <v>1</v>
      </c>
      <c r="BE1464">
        <v>0</v>
      </c>
      <c r="BF1464">
        <v>0</v>
      </c>
      <c r="BG1464">
        <v>0</v>
      </c>
      <c r="BH1464">
        <v>1800</v>
      </c>
      <c r="BI1464">
        <v>1</v>
      </c>
      <c r="BJ1464">
        <v>1</v>
      </c>
      <c r="BK1464">
        <v>1</v>
      </c>
      <c r="BL1464">
        <v>0</v>
      </c>
      <c r="BO1464">
        <v>0</v>
      </c>
      <c r="BP1464">
        <v>0</v>
      </c>
      <c r="BW1464" t="str">
        <f>"14:50:52.770"</f>
        <v>14:50:52.770</v>
      </c>
      <c r="CJ1464">
        <v>3</v>
      </c>
      <c r="CK1464">
        <v>2</v>
      </c>
      <c r="CL1464">
        <v>0</v>
      </c>
      <c r="CM1464">
        <v>2</v>
      </c>
      <c r="CN1464">
        <v>0</v>
      </c>
      <c r="CO1464">
        <v>5</v>
      </c>
      <c r="CP1464" t="s">
        <v>119</v>
      </c>
      <c r="CQ1464">
        <v>232</v>
      </c>
      <c r="CR1464">
        <v>2</v>
      </c>
      <c r="CW1464">
        <v>6783287</v>
      </c>
      <c r="CY1464">
        <v>1</v>
      </c>
      <c r="CZ1464">
        <v>0</v>
      </c>
      <c r="DA1464">
        <v>1</v>
      </c>
      <c r="DB1464">
        <v>0</v>
      </c>
      <c r="DC1464">
        <v>0</v>
      </c>
      <c r="DD1464">
        <v>1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>"12/16/2021 14:50:52.992"</f>
        <v>12/16/2021 14:50:52.992</v>
      </c>
      <c r="C1465" t="str">
        <f t="shared" si="73"/>
        <v>FFDFD3C0</v>
      </c>
      <c r="D1465" t="s">
        <v>133</v>
      </c>
      <c r="E1465">
        <v>44</v>
      </c>
      <c r="H1465">
        <v>131</v>
      </c>
      <c r="I1465" t="s">
        <v>134</v>
      </c>
      <c r="J1465" t="s">
        <v>135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"14:50:52.766"</f>
        <v>14:50:52.766</v>
      </c>
      <c r="T1465" t="str">
        <f>"14:50:52.266"</f>
        <v>14:50:52.266</v>
      </c>
      <c r="U1465" t="str">
        <f t="shared" si="72"/>
        <v>A0F928</v>
      </c>
      <c r="V1465">
        <v>0</v>
      </c>
      <c r="W1465">
        <v>0</v>
      </c>
      <c r="X1465">
        <v>2</v>
      </c>
      <c r="Z1465">
        <v>0</v>
      </c>
      <c r="AA1465">
        <v>9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2</v>
      </c>
      <c r="AH1465">
        <v>1</v>
      </c>
      <c r="AI1465" t="s">
        <v>806</v>
      </c>
      <c r="AJ1465">
        <v>35.796525000000003</v>
      </c>
      <c r="AK1465" t="s">
        <v>807</v>
      </c>
      <c r="AL1465">
        <v>-84.044894999999997</v>
      </c>
      <c r="AM1465">
        <v>25</v>
      </c>
      <c r="AN1465">
        <v>1550</v>
      </c>
      <c r="AO1465" t="s">
        <v>118</v>
      </c>
      <c r="AP1465">
        <v>-25</v>
      </c>
      <c r="AQ1465">
        <v>147</v>
      </c>
      <c r="AR1465">
        <v>-384</v>
      </c>
      <c r="AZ1465">
        <v>300</v>
      </c>
      <c r="BA1465">
        <v>1</v>
      </c>
      <c r="BB1465" t="str">
        <f t="shared" si="74"/>
        <v xml:space="preserve">N162AM  </v>
      </c>
      <c r="BC1465">
        <v>1</v>
      </c>
      <c r="BE1465">
        <v>0</v>
      </c>
      <c r="BF1465">
        <v>0</v>
      </c>
      <c r="BG1465">
        <v>0</v>
      </c>
      <c r="BH1465">
        <v>1800</v>
      </c>
      <c r="BI1465">
        <v>1</v>
      </c>
      <c r="BJ1465">
        <v>1</v>
      </c>
      <c r="BK1465">
        <v>1</v>
      </c>
      <c r="BL1465">
        <v>0</v>
      </c>
      <c r="BO1465">
        <v>0</v>
      </c>
      <c r="BP1465">
        <v>0</v>
      </c>
      <c r="BW1465" t="str">
        <f>"14:50:52.770"</f>
        <v>14:50:52.770</v>
      </c>
      <c r="CJ1465">
        <v>3</v>
      </c>
      <c r="CK1465">
        <v>2</v>
      </c>
      <c r="CL1465">
        <v>0</v>
      </c>
      <c r="CM1465">
        <v>2</v>
      </c>
      <c r="CN1465">
        <v>0</v>
      </c>
      <c r="CO1465">
        <v>5</v>
      </c>
      <c r="CP1465" t="s">
        <v>119</v>
      </c>
      <c r="CQ1465">
        <v>232</v>
      </c>
      <c r="CR1465">
        <v>2</v>
      </c>
      <c r="CW1465">
        <v>6783287</v>
      </c>
      <c r="CY1465">
        <v>1</v>
      </c>
      <c r="CZ1465">
        <v>0</v>
      </c>
      <c r="DA1465">
        <v>1</v>
      </c>
      <c r="DB1465">
        <v>0</v>
      </c>
      <c r="DC1465">
        <v>0</v>
      </c>
      <c r="DD1465">
        <v>1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>"12/16/2021 14:50:53.992"</f>
        <v>12/16/2021 14:50:53.992</v>
      </c>
      <c r="C1466" t="str">
        <f t="shared" si="73"/>
        <v>FFDFD3C0</v>
      </c>
      <c r="D1466" t="s">
        <v>124</v>
      </c>
      <c r="E1466">
        <v>5</v>
      </c>
      <c r="F1466">
        <v>1005</v>
      </c>
      <c r="G1466" t="s">
        <v>114</v>
      </c>
      <c r="J1466" t="s">
        <v>125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>"14:50:53.813"</f>
        <v>14:50:53.813</v>
      </c>
      <c r="T1466" t="str">
        <f>"14:50:53.413"</f>
        <v>14:50:53.413</v>
      </c>
      <c r="U1466" t="str">
        <f t="shared" si="72"/>
        <v>A0F928</v>
      </c>
      <c r="V1466">
        <v>0</v>
      </c>
      <c r="W1466">
        <v>0</v>
      </c>
      <c r="X1466">
        <v>2</v>
      </c>
      <c r="Z1466">
        <v>0</v>
      </c>
      <c r="AA1466">
        <v>9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2</v>
      </c>
      <c r="AH1466">
        <v>1</v>
      </c>
      <c r="AI1466" t="s">
        <v>808</v>
      </c>
      <c r="AJ1466">
        <v>35.797212000000002</v>
      </c>
      <c r="AK1466" t="s">
        <v>809</v>
      </c>
      <c r="AL1466">
        <v>-84.044960000000003</v>
      </c>
      <c r="AM1466">
        <v>25</v>
      </c>
      <c r="AN1466">
        <v>1550</v>
      </c>
      <c r="AO1466" t="s">
        <v>118</v>
      </c>
      <c r="AP1466">
        <v>-15</v>
      </c>
      <c r="AQ1466">
        <v>148</v>
      </c>
      <c r="AR1466">
        <v>-256</v>
      </c>
      <c r="AZ1466">
        <v>300</v>
      </c>
      <c r="BA1466">
        <v>1</v>
      </c>
      <c r="BB1466" t="str">
        <f t="shared" si="74"/>
        <v xml:space="preserve">N162AM  </v>
      </c>
      <c r="BC1466">
        <v>1</v>
      </c>
      <c r="BE1466">
        <v>0</v>
      </c>
      <c r="BF1466">
        <v>0</v>
      </c>
      <c r="BG1466">
        <v>0</v>
      </c>
      <c r="BH1466">
        <v>1825</v>
      </c>
      <c r="BI1466">
        <v>1</v>
      </c>
      <c r="BJ1466">
        <v>1</v>
      </c>
      <c r="BK1466">
        <v>1</v>
      </c>
      <c r="BL1466">
        <v>0</v>
      </c>
      <c r="BO1466">
        <v>0</v>
      </c>
      <c r="BP1466">
        <v>0</v>
      </c>
      <c r="BW1466" t="str">
        <f>"14:50:53.817"</f>
        <v>14:50:53.817</v>
      </c>
      <c r="CJ1466">
        <v>3</v>
      </c>
      <c r="CK1466">
        <v>2</v>
      </c>
      <c r="CL1466">
        <v>0</v>
      </c>
      <c r="CM1466">
        <v>2</v>
      </c>
      <c r="CN1466">
        <v>0</v>
      </c>
      <c r="CO1466">
        <v>3</v>
      </c>
      <c r="CP1466" t="s">
        <v>119</v>
      </c>
      <c r="CQ1466">
        <v>216</v>
      </c>
      <c r="CR1466">
        <v>0</v>
      </c>
      <c r="CW1466">
        <v>964002</v>
      </c>
      <c r="CY1466">
        <v>1</v>
      </c>
      <c r="CZ1466">
        <v>0</v>
      </c>
      <c r="DA1466">
        <v>0</v>
      </c>
      <c r="DB1466">
        <v>0</v>
      </c>
      <c r="DC1466">
        <v>0</v>
      </c>
      <c r="DD1466">
        <v>1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>"12/16/2021 14:50:54.008"</f>
        <v>12/16/2021 14:50:54.008</v>
      </c>
      <c r="C1467" t="str">
        <f t="shared" si="73"/>
        <v>FFDFD3C0</v>
      </c>
      <c r="D1467" t="s">
        <v>133</v>
      </c>
      <c r="E1467">
        <v>44</v>
      </c>
      <c r="H1467">
        <v>131</v>
      </c>
      <c r="I1467" t="s">
        <v>134</v>
      </c>
      <c r="J1467" t="s">
        <v>135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>"14:50:53.813"</f>
        <v>14:50:53.813</v>
      </c>
      <c r="T1467" t="str">
        <f>"14:50:53.413"</f>
        <v>14:50:53.413</v>
      </c>
      <c r="U1467" t="str">
        <f t="shared" si="72"/>
        <v>A0F928</v>
      </c>
      <c r="V1467">
        <v>0</v>
      </c>
      <c r="W1467">
        <v>0</v>
      </c>
      <c r="X1467">
        <v>2</v>
      </c>
      <c r="Z1467">
        <v>0</v>
      </c>
      <c r="AA1467">
        <v>9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2</v>
      </c>
      <c r="AH1467">
        <v>1</v>
      </c>
      <c r="AI1467" t="s">
        <v>808</v>
      </c>
      <c r="AJ1467">
        <v>35.797212000000002</v>
      </c>
      <c r="AK1467" t="s">
        <v>809</v>
      </c>
      <c r="AL1467">
        <v>-84.044960000000003</v>
      </c>
      <c r="AM1467">
        <v>25</v>
      </c>
      <c r="AN1467">
        <v>1550</v>
      </c>
      <c r="AO1467" t="s">
        <v>118</v>
      </c>
      <c r="AP1467">
        <v>-15</v>
      </c>
      <c r="AQ1467">
        <v>148</v>
      </c>
      <c r="AR1467">
        <v>-256</v>
      </c>
      <c r="AZ1467">
        <v>300</v>
      </c>
      <c r="BA1467">
        <v>1</v>
      </c>
      <c r="BB1467" t="str">
        <f t="shared" si="74"/>
        <v xml:space="preserve">N162AM  </v>
      </c>
      <c r="BC1467">
        <v>1</v>
      </c>
      <c r="BE1467">
        <v>0</v>
      </c>
      <c r="BF1467">
        <v>0</v>
      </c>
      <c r="BG1467">
        <v>0</v>
      </c>
      <c r="BH1467">
        <v>1825</v>
      </c>
      <c r="BI1467">
        <v>1</v>
      </c>
      <c r="BJ1467">
        <v>1</v>
      </c>
      <c r="BK1467">
        <v>1</v>
      </c>
      <c r="BL1467">
        <v>0</v>
      </c>
      <c r="BO1467">
        <v>0</v>
      </c>
      <c r="BP1467">
        <v>0</v>
      </c>
      <c r="BW1467" t="str">
        <f>"14:50:53.817"</f>
        <v>14:50:53.817</v>
      </c>
      <c r="CJ1467">
        <v>3</v>
      </c>
      <c r="CK1467">
        <v>2</v>
      </c>
      <c r="CL1467">
        <v>0</v>
      </c>
      <c r="CM1467">
        <v>2</v>
      </c>
      <c r="CN1467">
        <v>0</v>
      </c>
      <c r="CO1467">
        <v>3</v>
      </c>
      <c r="CP1467" t="s">
        <v>119</v>
      </c>
      <c r="CQ1467">
        <v>216</v>
      </c>
      <c r="CR1467">
        <v>0</v>
      </c>
      <c r="CW1467">
        <v>964002</v>
      </c>
      <c r="CY1467">
        <v>1</v>
      </c>
      <c r="CZ1467">
        <v>0</v>
      </c>
      <c r="DA1467">
        <v>1</v>
      </c>
      <c r="DB1467">
        <v>0</v>
      </c>
      <c r="DC1467">
        <v>0</v>
      </c>
      <c r="DD1467">
        <v>1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>"12/16/2021 14:50:54.039"</f>
        <v>12/16/2021 14:50:54.039</v>
      </c>
      <c r="C1468" t="str">
        <f t="shared" si="73"/>
        <v>FFDFD3C0</v>
      </c>
      <c r="D1468" t="s">
        <v>113</v>
      </c>
      <c r="E1468">
        <v>8</v>
      </c>
      <c r="H1468">
        <v>176</v>
      </c>
      <c r="I1468" t="s">
        <v>114</v>
      </c>
      <c r="J1468" t="s">
        <v>115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"14:50:53.813"</f>
        <v>14:50:53.813</v>
      </c>
      <c r="T1468" t="str">
        <f>"14:50:53.413"</f>
        <v>14:50:53.413</v>
      </c>
      <c r="U1468" t="str">
        <f t="shared" si="72"/>
        <v>A0F928</v>
      </c>
      <c r="V1468">
        <v>0</v>
      </c>
      <c r="W1468">
        <v>0</v>
      </c>
      <c r="X1468">
        <v>2</v>
      </c>
      <c r="Z1468">
        <v>0</v>
      </c>
      <c r="AA1468">
        <v>9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2</v>
      </c>
      <c r="AH1468">
        <v>1</v>
      </c>
      <c r="AI1468" t="s">
        <v>808</v>
      </c>
      <c r="AJ1468">
        <v>35.797212000000002</v>
      </c>
      <c r="AK1468" t="s">
        <v>809</v>
      </c>
      <c r="AL1468">
        <v>-84.044960000000003</v>
      </c>
      <c r="AM1468">
        <v>25</v>
      </c>
      <c r="AN1468">
        <v>1550</v>
      </c>
      <c r="AO1468" t="s">
        <v>118</v>
      </c>
      <c r="AP1468">
        <v>-15</v>
      </c>
      <c r="AQ1468">
        <v>148</v>
      </c>
      <c r="AR1468">
        <v>-256</v>
      </c>
      <c r="AZ1468">
        <v>300</v>
      </c>
      <c r="BA1468">
        <v>1</v>
      </c>
      <c r="BB1468" t="str">
        <f t="shared" si="74"/>
        <v xml:space="preserve">N162AM  </v>
      </c>
      <c r="BC1468">
        <v>1</v>
      </c>
      <c r="BE1468">
        <v>0</v>
      </c>
      <c r="BF1468">
        <v>0</v>
      </c>
      <c r="BG1468">
        <v>0</v>
      </c>
      <c r="BH1468">
        <v>1825</v>
      </c>
      <c r="BI1468">
        <v>1</v>
      </c>
      <c r="BJ1468">
        <v>1</v>
      </c>
      <c r="BK1468">
        <v>1</v>
      </c>
      <c r="BL1468">
        <v>0</v>
      </c>
      <c r="BO1468">
        <v>0</v>
      </c>
      <c r="BP1468">
        <v>0</v>
      </c>
      <c r="BW1468" t="str">
        <f>"14:50:53.817"</f>
        <v>14:50:53.817</v>
      </c>
      <c r="CJ1468">
        <v>3</v>
      </c>
      <c r="CK1468">
        <v>2</v>
      </c>
      <c r="CL1468">
        <v>0</v>
      </c>
      <c r="CM1468">
        <v>2</v>
      </c>
      <c r="CN1468">
        <v>0</v>
      </c>
      <c r="CO1468">
        <v>3</v>
      </c>
      <c r="CP1468" t="s">
        <v>119</v>
      </c>
      <c r="CQ1468">
        <v>216</v>
      </c>
      <c r="CR1468">
        <v>0</v>
      </c>
      <c r="CW1468">
        <v>964002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1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>"12/16/2021 14:50:54.039"</f>
        <v>12/16/2021 14:50:54.039</v>
      </c>
      <c r="C1469" t="str">
        <f t="shared" si="73"/>
        <v>FFDFD3C0</v>
      </c>
      <c r="D1469" t="s">
        <v>124</v>
      </c>
      <c r="E1469">
        <v>10</v>
      </c>
      <c r="F1469">
        <v>1010</v>
      </c>
      <c r="G1469" t="s">
        <v>130</v>
      </c>
      <c r="J1469" t="s">
        <v>125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"14:50:53.813"</f>
        <v>14:50:53.813</v>
      </c>
      <c r="T1469" t="str">
        <f>"14:50:53.413"</f>
        <v>14:50:53.413</v>
      </c>
      <c r="U1469" t="str">
        <f t="shared" si="72"/>
        <v>A0F928</v>
      </c>
      <c r="V1469">
        <v>0</v>
      </c>
      <c r="W1469">
        <v>0</v>
      </c>
      <c r="X1469">
        <v>2</v>
      </c>
      <c r="Z1469">
        <v>0</v>
      </c>
      <c r="AA1469">
        <v>9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2</v>
      </c>
      <c r="AH1469">
        <v>1</v>
      </c>
      <c r="AI1469" t="s">
        <v>808</v>
      </c>
      <c r="AJ1469">
        <v>35.797212000000002</v>
      </c>
      <c r="AK1469" t="s">
        <v>809</v>
      </c>
      <c r="AL1469">
        <v>-84.044960000000003</v>
      </c>
      <c r="AM1469">
        <v>25</v>
      </c>
      <c r="AN1469">
        <v>1550</v>
      </c>
      <c r="AO1469" t="s">
        <v>118</v>
      </c>
      <c r="AP1469">
        <v>-15</v>
      </c>
      <c r="AQ1469">
        <v>148</v>
      </c>
      <c r="AR1469">
        <v>-256</v>
      </c>
      <c r="AZ1469">
        <v>300</v>
      </c>
      <c r="BA1469">
        <v>1</v>
      </c>
      <c r="BB1469" t="str">
        <f t="shared" si="74"/>
        <v xml:space="preserve">N162AM  </v>
      </c>
      <c r="BC1469">
        <v>1</v>
      </c>
      <c r="BE1469">
        <v>0</v>
      </c>
      <c r="BF1469">
        <v>0</v>
      </c>
      <c r="BG1469">
        <v>0</v>
      </c>
      <c r="BH1469">
        <v>1825</v>
      </c>
      <c r="BI1469">
        <v>1</v>
      </c>
      <c r="BJ1469">
        <v>1</v>
      </c>
      <c r="BK1469">
        <v>1</v>
      </c>
      <c r="BL1469">
        <v>0</v>
      </c>
      <c r="BO1469">
        <v>0</v>
      </c>
      <c r="BP1469">
        <v>0</v>
      </c>
      <c r="BW1469" t="str">
        <f>"14:50:53.817"</f>
        <v>14:50:53.817</v>
      </c>
      <c r="CJ1469">
        <v>3</v>
      </c>
      <c r="CK1469">
        <v>2</v>
      </c>
      <c r="CL1469">
        <v>0</v>
      </c>
      <c r="CM1469">
        <v>2</v>
      </c>
      <c r="CN1469">
        <v>0</v>
      </c>
      <c r="CO1469">
        <v>3</v>
      </c>
      <c r="CP1469" t="s">
        <v>119</v>
      </c>
      <c r="CQ1469">
        <v>216</v>
      </c>
      <c r="CR1469">
        <v>0</v>
      </c>
      <c r="CW1469">
        <v>964002</v>
      </c>
      <c r="CY1469">
        <v>1</v>
      </c>
      <c r="CZ1469">
        <v>0</v>
      </c>
      <c r="DA1469">
        <v>1</v>
      </c>
      <c r="DB1469">
        <v>0</v>
      </c>
      <c r="DC1469">
        <v>0</v>
      </c>
      <c r="DD1469">
        <v>1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>"12/16/2021 14:50:55.069"</f>
        <v>12/16/2021 14:50:55.069</v>
      </c>
      <c r="C1470" t="str">
        <f t="shared" si="73"/>
        <v>FFDFD3C0</v>
      </c>
      <c r="D1470" t="s">
        <v>124</v>
      </c>
      <c r="E1470">
        <v>10</v>
      </c>
      <c r="F1470">
        <v>1010</v>
      </c>
      <c r="G1470" t="s">
        <v>130</v>
      </c>
      <c r="J1470" t="s">
        <v>125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"14:50:54.844"</f>
        <v>14:50:54.844</v>
      </c>
      <c r="T1470" t="str">
        <f>"14:50:54.444"</f>
        <v>14:50:54.444</v>
      </c>
      <c r="U1470" t="str">
        <f t="shared" si="72"/>
        <v>A0F928</v>
      </c>
      <c r="V1470">
        <v>0</v>
      </c>
      <c r="W1470">
        <v>0</v>
      </c>
      <c r="X1470">
        <v>2</v>
      </c>
      <c r="Z1470">
        <v>0</v>
      </c>
      <c r="AA1470">
        <v>9</v>
      </c>
      <c r="AB1470">
        <v>3</v>
      </c>
      <c r="AC1470">
        <v>0</v>
      </c>
      <c r="AD1470">
        <v>10</v>
      </c>
      <c r="AE1470">
        <v>0</v>
      </c>
      <c r="AF1470">
        <v>3</v>
      </c>
      <c r="AG1470">
        <v>2</v>
      </c>
      <c r="AH1470">
        <v>1</v>
      </c>
      <c r="AI1470" t="s">
        <v>810</v>
      </c>
      <c r="AJ1470">
        <v>35.797899000000001</v>
      </c>
      <c r="AK1470" t="s">
        <v>811</v>
      </c>
      <c r="AL1470">
        <v>-84.045001999999997</v>
      </c>
      <c r="AM1470">
        <v>25</v>
      </c>
      <c r="AN1470">
        <v>1550</v>
      </c>
      <c r="AO1470" t="s">
        <v>118</v>
      </c>
      <c r="AP1470">
        <v>-7</v>
      </c>
      <c r="AQ1470">
        <v>148</v>
      </c>
      <c r="AR1470">
        <v>-128</v>
      </c>
      <c r="AZ1470">
        <v>300</v>
      </c>
      <c r="BA1470">
        <v>1</v>
      </c>
      <c r="BB1470" t="str">
        <f t="shared" si="74"/>
        <v xml:space="preserve">N162AM  </v>
      </c>
      <c r="BC1470">
        <v>1</v>
      </c>
      <c r="BE1470">
        <v>0</v>
      </c>
      <c r="BF1470">
        <v>0</v>
      </c>
      <c r="BG1470">
        <v>0</v>
      </c>
      <c r="BH1470">
        <v>1800</v>
      </c>
      <c r="BI1470">
        <v>1</v>
      </c>
      <c r="BJ1470">
        <v>1</v>
      </c>
      <c r="BK1470">
        <v>1</v>
      </c>
      <c r="BL1470">
        <v>0</v>
      </c>
      <c r="BO1470">
        <v>0</v>
      </c>
      <c r="BP1470">
        <v>0</v>
      </c>
      <c r="BW1470" t="str">
        <f>"14:50:54.846"</f>
        <v>14:50:54.846</v>
      </c>
      <c r="CJ1470">
        <v>3</v>
      </c>
      <c r="CK1470">
        <v>2</v>
      </c>
      <c r="CL1470">
        <v>0</v>
      </c>
      <c r="CM1470">
        <v>2</v>
      </c>
      <c r="CN1470">
        <v>0</v>
      </c>
      <c r="CO1470">
        <v>5</v>
      </c>
      <c r="CP1470" t="s">
        <v>119</v>
      </c>
      <c r="CQ1470">
        <v>232</v>
      </c>
      <c r="CR1470">
        <v>2</v>
      </c>
      <c r="CW1470">
        <v>6786397</v>
      </c>
      <c r="CY1470">
        <v>1</v>
      </c>
      <c r="CZ1470">
        <v>0</v>
      </c>
      <c r="DA1470">
        <v>0</v>
      </c>
      <c r="DB1470">
        <v>0</v>
      </c>
      <c r="DC1470">
        <v>0</v>
      </c>
      <c r="DD1470">
        <v>1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>"12/16/2021 14:50:55.069"</f>
        <v>12/16/2021 14:50:55.069</v>
      </c>
      <c r="C1471" t="str">
        <f t="shared" si="73"/>
        <v>FFDFD3C0</v>
      </c>
      <c r="D1471" t="s">
        <v>113</v>
      </c>
      <c r="E1471">
        <v>8</v>
      </c>
      <c r="H1471">
        <v>176</v>
      </c>
      <c r="I1471" t="s">
        <v>114</v>
      </c>
      <c r="J1471" t="s">
        <v>115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"14:50:54.844"</f>
        <v>14:50:54.844</v>
      </c>
      <c r="T1471" t="str">
        <f>"14:50:54.444"</f>
        <v>14:50:54.444</v>
      </c>
      <c r="U1471" t="str">
        <f t="shared" si="72"/>
        <v>A0F928</v>
      </c>
      <c r="V1471">
        <v>0</v>
      </c>
      <c r="W1471">
        <v>0</v>
      </c>
      <c r="X1471">
        <v>2</v>
      </c>
      <c r="Z1471">
        <v>0</v>
      </c>
      <c r="AA1471">
        <v>9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2</v>
      </c>
      <c r="AH1471">
        <v>1</v>
      </c>
      <c r="AI1471" t="s">
        <v>810</v>
      </c>
      <c r="AJ1471">
        <v>35.797899000000001</v>
      </c>
      <c r="AK1471" t="s">
        <v>811</v>
      </c>
      <c r="AL1471">
        <v>-84.045001999999997</v>
      </c>
      <c r="AM1471">
        <v>25</v>
      </c>
      <c r="AN1471">
        <v>1550</v>
      </c>
      <c r="AO1471" t="s">
        <v>118</v>
      </c>
      <c r="AP1471">
        <v>-7</v>
      </c>
      <c r="AQ1471">
        <v>148</v>
      </c>
      <c r="AR1471">
        <v>-128</v>
      </c>
      <c r="AZ1471">
        <v>300</v>
      </c>
      <c r="BA1471">
        <v>1</v>
      </c>
      <c r="BB1471" t="str">
        <f t="shared" si="74"/>
        <v xml:space="preserve">N162AM  </v>
      </c>
      <c r="BC1471">
        <v>1</v>
      </c>
      <c r="BE1471">
        <v>0</v>
      </c>
      <c r="BF1471">
        <v>0</v>
      </c>
      <c r="BG1471">
        <v>0</v>
      </c>
      <c r="BH1471">
        <v>1800</v>
      </c>
      <c r="BI1471">
        <v>1</v>
      </c>
      <c r="BJ1471">
        <v>1</v>
      </c>
      <c r="BK1471">
        <v>1</v>
      </c>
      <c r="BL1471">
        <v>0</v>
      </c>
      <c r="BO1471">
        <v>0</v>
      </c>
      <c r="BP1471">
        <v>0</v>
      </c>
      <c r="BW1471" t="str">
        <f>"14:50:54.846"</f>
        <v>14:50:54.846</v>
      </c>
      <c r="CJ1471">
        <v>3</v>
      </c>
      <c r="CK1471">
        <v>2</v>
      </c>
      <c r="CL1471">
        <v>0</v>
      </c>
      <c r="CM1471">
        <v>2</v>
      </c>
      <c r="CN1471">
        <v>0</v>
      </c>
      <c r="CO1471">
        <v>5</v>
      </c>
      <c r="CP1471" t="s">
        <v>119</v>
      </c>
      <c r="CQ1471">
        <v>232</v>
      </c>
      <c r="CR1471">
        <v>2</v>
      </c>
      <c r="CW1471">
        <v>6786397</v>
      </c>
      <c r="CY1471">
        <v>1</v>
      </c>
      <c r="CZ1471">
        <v>0</v>
      </c>
      <c r="DA1471">
        <v>1</v>
      </c>
      <c r="DB1471">
        <v>0</v>
      </c>
      <c r="DC1471">
        <v>0</v>
      </c>
      <c r="DD1471">
        <v>1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>"12/16/2021 14:50:55.069"</f>
        <v>12/16/2021 14:50:55.069</v>
      </c>
      <c r="C1472" t="str">
        <f t="shared" si="73"/>
        <v>FFDFD3C0</v>
      </c>
      <c r="D1472" t="s">
        <v>124</v>
      </c>
      <c r="E1472">
        <v>5</v>
      </c>
      <c r="F1472">
        <v>1005</v>
      </c>
      <c r="G1472" t="s">
        <v>114</v>
      </c>
      <c r="J1472" t="s">
        <v>125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"14:50:54.844"</f>
        <v>14:50:54.844</v>
      </c>
      <c r="T1472" t="str">
        <f>"14:50:54.444"</f>
        <v>14:50:54.444</v>
      </c>
      <c r="U1472" t="str">
        <f t="shared" si="72"/>
        <v>A0F928</v>
      </c>
      <c r="V1472">
        <v>0</v>
      </c>
      <c r="W1472">
        <v>0</v>
      </c>
      <c r="X1472">
        <v>2</v>
      </c>
      <c r="Z1472">
        <v>0</v>
      </c>
      <c r="AA1472">
        <v>9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2</v>
      </c>
      <c r="AH1472">
        <v>1</v>
      </c>
      <c r="AI1472" t="s">
        <v>810</v>
      </c>
      <c r="AJ1472">
        <v>35.797899000000001</v>
      </c>
      <c r="AK1472" t="s">
        <v>811</v>
      </c>
      <c r="AL1472">
        <v>-84.045001999999997</v>
      </c>
      <c r="AM1472">
        <v>25</v>
      </c>
      <c r="AN1472">
        <v>1550</v>
      </c>
      <c r="AO1472" t="s">
        <v>118</v>
      </c>
      <c r="AP1472">
        <v>-7</v>
      </c>
      <c r="AQ1472">
        <v>148</v>
      </c>
      <c r="AR1472">
        <v>-128</v>
      </c>
      <c r="AZ1472">
        <v>300</v>
      </c>
      <c r="BA1472">
        <v>1</v>
      </c>
      <c r="BB1472" t="str">
        <f t="shared" si="74"/>
        <v xml:space="preserve">N162AM  </v>
      </c>
      <c r="BC1472">
        <v>1</v>
      </c>
      <c r="BE1472">
        <v>0</v>
      </c>
      <c r="BF1472">
        <v>0</v>
      </c>
      <c r="BG1472">
        <v>0</v>
      </c>
      <c r="BH1472">
        <v>1800</v>
      </c>
      <c r="BI1472">
        <v>1</v>
      </c>
      <c r="BJ1472">
        <v>1</v>
      </c>
      <c r="BK1472">
        <v>1</v>
      </c>
      <c r="BL1472">
        <v>0</v>
      </c>
      <c r="BO1472">
        <v>0</v>
      </c>
      <c r="BP1472">
        <v>0</v>
      </c>
      <c r="BW1472" t="str">
        <f>"14:50:54.846"</f>
        <v>14:50:54.846</v>
      </c>
      <c r="CJ1472">
        <v>3</v>
      </c>
      <c r="CK1472">
        <v>2</v>
      </c>
      <c r="CL1472">
        <v>0</v>
      </c>
      <c r="CM1472">
        <v>2</v>
      </c>
      <c r="CN1472">
        <v>0</v>
      </c>
      <c r="CO1472">
        <v>5</v>
      </c>
      <c r="CP1472" t="s">
        <v>119</v>
      </c>
      <c r="CQ1472">
        <v>232</v>
      </c>
      <c r="CR1472">
        <v>2</v>
      </c>
      <c r="CW1472">
        <v>6786397</v>
      </c>
      <c r="CY1472">
        <v>1</v>
      </c>
      <c r="CZ1472">
        <v>0</v>
      </c>
      <c r="DA1472">
        <v>1</v>
      </c>
      <c r="DB1472">
        <v>0</v>
      </c>
      <c r="DC1472">
        <v>0</v>
      </c>
      <c r="DD1472">
        <v>1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>"12/16/2021 14:50:55.069"</f>
        <v>12/16/2021 14:50:55.069</v>
      </c>
      <c r="C1473" t="str">
        <f t="shared" si="73"/>
        <v>FFDFD3C0</v>
      </c>
      <c r="D1473" t="s">
        <v>133</v>
      </c>
      <c r="E1473">
        <v>44</v>
      </c>
      <c r="H1473">
        <v>131</v>
      </c>
      <c r="I1473" t="s">
        <v>134</v>
      </c>
      <c r="J1473" t="s">
        <v>135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"14:50:54.844"</f>
        <v>14:50:54.844</v>
      </c>
      <c r="T1473" t="str">
        <f>"14:50:54.444"</f>
        <v>14:50:54.444</v>
      </c>
      <c r="U1473" t="str">
        <f t="shared" si="72"/>
        <v>A0F928</v>
      </c>
      <c r="V1473">
        <v>0</v>
      </c>
      <c r="W1473">
        <v>0</v>
      </c>
      <c r="X1473">
        <v>2</v>
      </c>
      <c r="Z1473">
        <v>0</v>
      </c>
      <c r="AA1473">
        <v>9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2</v>
      </c>
      <c r="AH1473">
        <v>1</v>
      </c>
      <c r="AI1473" t="s">
        <v>810</v>
      </c>
      <c r="AJ1473">
        <v>35.797899000000001</v>
      </c>
      <c r="AK1473" t="s">
        <v>811</v>
      </c>
      <c r="AL1473">
        <v>-84.045001999999997</v>
      </c>
      <c r="AM1473">
        <v>25</v>
      </c>
      <c r="AN1473">
        <v>1550</v>
      </c>
      <c r="AO1473" t="s">
        <v>118</v>
      </c>
      <c r="AP1473">
        <v>-7</v>
      </c>
      <c r="AQ1473">
        <v>148</v>
      </c>
      <c r="AR1473">
        <v>-128</v>
      </c>
      <c r="AZ1473">
        <v>300</v>
      </c>
      <c r="BA1473">
        <v>1</v>
      </c>
      <c r="BB1473" t="str">
        <f t="shared" si="74"/>
        <v xml:space="preserve">N162AM  </v>
      </c>
      <c r="BC1473">
        <v>1</v>
      </c>
      <c r="BE1473">
        <v>0</v>
      </c>
      <c r="BF1473">
        <v>0</v>
      </c>
      <c r="BG1473">
        <v>0</v>
      </c>
      <c r="BH1473">
        <v>1800</v>
      </c>
      <c r="BI1473">
        <v>1</v>
      </c>
      <c r="BJ1473">
        <v>1</v>
      </c>
      <c r="BK1473">
        <v>1</v>
      </c>
      <c r="BL1473">
        <v>0</v>
      </c>
      <c r="BO1473">
        <v>0</v>
      </c>
      <c r="BP1473">
        <v>0</v>
      </c>
      <c r="BW1473" t="str">
        <f>"14:50:54.846"</f>
        <v>14:50:54.846</v>
      </c>
      <c r="CJ1473">
        <v>3</v>
      </c>
      <c r="CK1473">
        <v>2</v>
      </c>
      <c r="CL1473">
        <v>0</v>
      </c>
      <c r="CM1473">
        <v>2</v>
      </c>
      <c r="CN1473">
        <v>0</v>
      </c>
      <c r="CO1473">
        <v>5</v>
      </c>
      <c r="CP1473" t="s">
        <v>119</v>
      </c>
      <c r="CQ1473">
        <v>232</v>
      </c>
      <c r="CR1473">
        <v>2</v>
      </c>
      <c r="CW1473">
        <v>6786397</v>
      </c>
      <c r="CY1473">
        <v>1</v>
      </c>
      <c r="CZ1473">
        <v>0</v>
      </c>
      <c r="DA1473">
        <v>1</v>
      </c>
      <c r="DB1473">
        <v>0</v>
      </c>
      <c r="DC1473">
        <v>0</v>
      </c>
      <c r="DD1473">
        <v>1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>"12/16/2021 14:50:56.579"</f>
        <v>12/16/2021 14:50:56.579</v>
      </c>
      <c r="C1474" t="str">
        <f t="shared" si="73"/>
        <v>FFDFD3C0</v>
      </c>
      <c r="D1474" t="s">
        <v>124</v>
      </c>
      <c r="E1474">
        <v>10</v>
      </c>
      <c r="F1474">
        <v>1010</v>
      </c>
      <c r="G1474" t="s">
        <v>130</v>
      </c>
      <c r="J1474" t="s">
        <v>125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"14:50:56.242"</f>
        <v>14:50:56.242</v>
      </c>
      <c r="T1474" t="str">
        <f>"14:50:55.842"</f>
        <v>14:50:55.842</v>
      </c>
      <c r="U1474" t="str">
        <f t="shared" ref="U1474:U1537" si="75">"A0F928"</f>
        <v>A0F928</v>
      </c>
      <c r="V1474">
        <v>0</v>
      </c>
      <c r="W1474">
        <v>0</v>
      </c>
      <c r="X1474">
        <v>2</v>
      </c>
      <c r="Z1474">
        <v>0</v>
      </c>
      <c r="AA1474">
        <v>9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2</v>
      </c>
      <c r="AH1474">
        <v>1</v>
      </c>
      <c r="AI1474" t="s">
        <v>812</v>
      </c>
      <c r="AJ1474">
        <v>35.798864000000002</v>
      </c>
      <c r="AK1474" t="s">
        <v>809</v>
      </c>
      <c r="AL1474">
        <v>-84.044960000000003</v>
      </c>
      <c r="AM1474">
        <v>25</v>
      </c>
      <c r="AN1474">
        <v>1525</v>
      </c>
      <c r="AO1474" t="s">
        <v>118</v>
      </c>
      <c r="AP1474">
        <v>3</v>
      </c>
      <c r="AQ1474">
        <v>147</v>
      </c>
      <c r="AR1474">
        <v>64</v>
      </c>
      <c r="AZ1474">
        <v>300</v>
      </c>
      <c r="BA1474">
        <v>1</v>
      </c>
      <c r="BB1474" t="str">
        <f t="shared" si="74"/>
        <v xml:space="preserve">N162AM  </v>
      </c>
      <c r="BC1474">
        <v>1</v>
      </c>
      <c r="BE1474">
        <v>0</v>
      </c>
      <c r="BF1474">
        <v>0</v>
      </c>
      <c r="BG1474">
        <v>0</v>
      </c>
      <c r="BH1474">
        <v>1800</v>
      </c>
      <c r="BI1474">
        <v>1</v>
      </c>
      <c r="BJ1474">
        <v>1</v>
      </c>
      <c r="BK1474">
        <v>1</v>
      </c>
      <c r="BL1474">
        <v>0</v>
      </c>
      <c r="BO1474">
        <v>0</v>
      </c>
      <c r="BP1474">
        <v>0</v>
      </c>
      <c r="BW1474" t="str">
        <f>"14:50:56.245"</f>
        <v>14:50:56.245</v>
      </c>
      <c r="CJ1474">
        <v>3</v>
      </c>
      <c r="CK1474">
        <v>2</v>
      </c>
      <c r="CL1474">
        <v>0</v>
      </c>
      <c r="CM1474">
        <v>2</v>
      </c>
      <c r="CN1474">
        <v>0</v>
      </c>
      <c r="CO1474">
        <v>3</v>
      </c>
      <c r="CP1474" t="s">
        <v>119</v>
      </c>
      <c r="CQ1474">
        <v>216</v>
      </c>
      <c r="CR1474">
        <v>0</v>
      </c>
      <c r="CW1474">
        <v>967170</v>
      </c>
      <c r="CY1474">
        <v>1</v>
      </c>
      <c r="CZ1474">
        <v>0</v>
      </c>
      <c r="DA1474">
        <v>0</v>
      </c>
      <c r="DB1474">
        <v>0</v>
      </c>
      <c r="DC1474">
        <v>0</v>
      </c>
      <c r="DD1474">
        <v>1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>"12/16/2021 14:50:56.579"</f>
        <v>12/16/2021 14:50:56.579</v>
      </c>
      <c r="C1475" t="str">
        <f t="shared" si="73"/>
        <v>FFDFD3C0</v>
      </c>
      <c r="D1475" t="s">
        <v>124</v>
      </c>
      <c r="E1475">
        <v>5</v>
      </c>
      <c r="F1475">
        <v>1005</v>
      </c>
      <c r="G1475" t="s">
        <v>114</v>
      </c>
      <c r="J1475" t="s">
        <v>125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"14:50:56.242"</f>
        <v>14:50:56.242</v>
      </c>
      <c r="T1475" t="str">
        <f>"14:50:55.842"</f>
        <v>14:50:55.842</v>
      </c>
      <c r="U1475" t="str">
        <f t="shared" si="75"/>
        <v>A0F928</v>
      </c>
      <c r="V1475">
        <v>0</v>
      </c>
      <c r="W1475">
        <v>0</v>
      </c>
      <c r="X1475">
        <v>2</v>
      </c>
      <c r="Z1475">
        <v>0</v>
      </c>
      <c r="AA1475">
        <v>9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2</v>
      </c>
      <c r="AH1475">
        <v>1</v>
      </c>
      <c r="AI1475" t="s">
        <v>812</v>
      </c>
      <c r="AJ1475">
        <v>35.798864000000002</v>
      </c>
      <c r="AK1475" t="s">
        <v>809</v>
      </c>
      <c r="AL1475">
        <v>-84.044960000000003</v>
      </c>
      <c r="AM1475">
        <v>25</v>
      </c>
      <c r="AN1475">
        <v>1525</v>
      </c>
      <c r="AO1475" t="s">
        <v>118</v>
      </c>
      <c r="AP1475">
        <v>3</v>
      </c>
      <c r="AQ1475">
        <v>147</v>
      </c>
      <c r="AR1475">
        <v>64</v>
      </c>
      <c r="AZ1475">
        <v>300</v>
      </c>
      <c r="BA1475">
        <v>1</v>
      </c>
      <c r="BB1475" t="str">
        <f t="shared" si="74"/>
        <v xml:space="preserve">N162AM  </v>
      </c>
      <c r="BC1475">
        <v>1</v>
      </c>
      <c r="BE1475">
        <v>0</v>
      </c>
      <c r="BF1475">
        <v>0</v>
      </c>
      <c r="BG1475">
        <v>0</v>
      </c>
      <c r="BH1475">
        <v>1800</v>
      </c>
      <c r="BI1475">
        <v>1</v>
      </c>
      <c r="BJ1475">
        <v>1</v>
      </c>
      <c r="BK1475">
        <v>1</v>
      </c>
      <c r="BL1475">
        <v>0</v>
      </c>
      <c r="BO1475">
        <v>0</v>
      </c>
      <c r="BP1475">
        <v>0</v>
      </c>
      <c r="BW1475" t="str">
        <f>"14:50:56.245"</f>
        <v>14:50:56.245</v>
      </c>
      <c r="CJ1475">
        <v>3</v>
      </c>
      <c r="CK1475">
        <v>2</v>
      </c>
      <c r="CL1475">
        <v>0</v>
      </c>
      <c r="CM1475">
        <v>2</v>
      </c>
      <c r="CN1475">
        <v>0</v>
      </c>
      <c r="CO1475">
        <v>3</v>
      </c>
      <c r="CP1475" t="s">
        <v>119</v>
      </c>
      <c r="CQ1475">
        <v>216</v>
      </c>
      <c r="CR1475">
        <v>0</v>
      </c>
      <c r="CW1475">
        <v>967170</v>
      </c>
      <c r="CY1475">
        <v>1</v>
      </c>
      <c r="CZ1475">
        <v>0</v>
      </c>
      <c r="DA1475">
        <v>1</v>
      </c>
      <c r="DB1475">
        <v>0</v>
      </c>
      <c r="DC1475">
        <v>0</v>
      </c>
      <c r="DD1475">
        <v>1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>"12/16/2021 14:50:56.579"</f>
        <v>12/16/2021 14:50:56.579</v>
      </c>
      <c r="C1476" t="str">
        <f t="shared" si="73"/>
        <v>FFDFD3C0</v>
      </c>
      <c r="D1476" t="s">
        <v>113</v>
      </c>
      <c r="E1476">
        <v>8</v>
      </c>
      <c r="H1476">
        <v>176</v>
      </c>
      <c r="I1476" t="s">
        <v>114</v>
      </c>
      <c r="J1476" t="s">
        <v>115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"14:50:56.242"</f>
        <v>14:50:56.242</v>
      </c>
      <c r="T1476" t="str">
        <f>"14:50:55.842"</f>
        <v>14:50:55.842</v>
      </c>
      <c r="U1476" t="str">
        <f t="shared" si="75"/>
        <v>A0F928</v>
      </c>
      <c r="V1476">
        <v>0</v>
      </c>
      <c r="W1476">
        <v>0</v>
      </c>
      <c r="X1476">
        <v>2</v>
      </c>
      <c r="Z1476">
        <v>0</v>
      </c>
      <c r="AA1476">
        <v>9</v>
      </c>
      <c r="AB1476">
        <v>3</v>
      </c>
      <c r="AC1476">
        <v>0</v>
      </c>
      <c r="AD1476">
        <v>10</v>
      </c>
      <c r="AE1476">
        <v>0</v>
      </c>
      <c r="AF1476">
        <v>3</v>
      </c>
      <c r="AG1476">
        <v>2</v>
      </c>
      <c r="AH1476">
        <v>1</v>
      </c>
      <c r="AI1476" t="s">
        <v>812</v>
      </c>
      <c r="AJ1476">
        <v>35.798864000000002</v>
      </c>
      <c r="AK1476" t="s">
        <v>809</v>
      </c>
      <c r="AL1476">
        <v>-84.044960000000003</v>
      </c>
      <c r="AM1476">
        <v>25</v>
      </c>
      <c r="AN1476">
        <v>1525</v>
      </c>
      <c r="AO1476" t="s">
        <v>118</v>
      </c>
      <c r="AP1476">
        <v>3</v>
      </c>
      <c r="AQ1476">
        <v>147</v>
      </c>
      <c r="AR1476">
        <v>64</v>
      </c>
      <c r="AZ1476">
        <v>300</v>
      </c>
      <c r="BA1476">
        <v>1</v>
      </c>
      <c r="BB1476" t="str">
        <f t="shared" si="74"/>
        <v xml:space="preserve">N162AM  </v>
      </c>
      <c r="BC1476">
        <v>1</v>
      </c>
      <c r="BE1476">
        <v>0</v>
      </c>
      <c r="BF1476">
        <v>0</v>
      </c>
      <c r="BG1476">
        <v>0</v>
      </c>
      <c r="BH1476">
        <v>1800</v>
      </c>
      <c r="BI1476">
        <v>1</v>
      </c>
      <c r="BJ1476">
        <v>1</v>
      </c>
      <c r="BK1476">
        <v>1</v>
      </c>
      <c r="BL1476">
        <v>0</v>
      </c>
      <c r="BO1476">
        <v>0</v>
      </c>
      <c r="BP1476">
        <v>0</v>
      </c>
      <c r="BW1476" t="str">
        <f>"14:50:56.245"</f>
        <v>14:50:56.245</v>
      </c>
      <c r="CJ1476">
        <v>3</v>
      </c>
      <c r="CK1476">
        <v>2</v>
      </c>
      <c r="CL1476">
        <v>0</v>
      </c>
      <c r="CM1476">
        <v>2</v>
      </c>
      <c r="CN1476">
        <v>0</v>
      </c>
      <c r="CO1476">
        <v>3</v>
      </c>
      <c r="CP1476" t="s">
        <v>119</v>
      </c>
      <c r="CQ1476">
        <v>216</v>
      </c>
      <c r="CR1476">
        <v>0</v>
      </c>
      <c r="CW1476">
        <v>967170</v>
      </c>
      <c r="CY1476">
        <v>1</v>
      </c>
      <c r="CZ1476">
        <v>0</v>
      </c>
      <c r="DA1476">
        <v>1</v>
      </c>
      <c r="DB1476">
        <v>0</v>
      </c>
      <c r="DC1476">
        <v>0</v>
      </c>
      <c r="DD1476">
        <v>1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>"12/16/2021 14:50:56.579"</f>
        <v>12/16/2021 14:50:56.579</v>
      </c>
      <c r="C1477" t="str">
        <f t="shared" si="73"/>
        <v>FFDFD3C0</v>
      </c>
      <c r="D1477" t="s">
        <v>133</v>
      </c>
      <c r="E1477">
        <v>44</v>
      </c>
      <c r="H1477">
        <v>131</v>
      </c>
      <c r="I1477" t="s">
        <v>134</v>
      </c>
      <c r="J1477" t="s">
        <v>135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"14:50:56.242"</f>
        <v>14:50:56.242</v>
      </c>
      <c r="T1477" t="str">
        <f>"14:50:55.842"</f>
        <v>14:50:55.842</v>
      </c>
      <c r="U1477" t="str">
        <f t="shared" si="75"/>
        <v>A0F928</v>
      </c>
      <c r="V1477">
        <v>0</v>
      </c>
      <c r="W1477">
        <v>0</v>
      </c>
      <c r="X1477">
        <v>2</v>
      </c>
      <c r="Z1477">
        <v>0</v>
      </c>
      <c r="AA1477">
        <v>9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2</v>
      </c>
      <c r="AH1477">
        <v>1</v>
      </c>
      <c r="AI1477" t="s">
        <v>812</v>
      </c>
      <c r="AJ1477">
        <v>35.798864000000002</v>
      </c>
      <c r="AK1477" t="s">
        <v>809</v>
      </c>
      <c r="AL1477">
        <v>-84.044960000000003</v>
      </c>
      <c r="AM1477">
        <v>25</v>
      </c>
      <c r="AN1477">
        <v>1525</v>
      </c>
      <c r="AO1477" t="s">
        <v>118</v>
      </c>
      <c r="AP1477">
        <v>3</v>
      </c>
      <c r="AQ1477">
        <v>147</v>
      </c>
      <c r="AR1477">
        <v>64</v>
      </c>
      <c r="AZ1477">
        <v>300</v>
      </c>
      <c r="BA1477">
        <v>1</v>
      </c>
      <c r="BB1477" t="str">
        <f t="shared" si="74"/>
        <v xml:space="preserve">N162AM  </v>
      </c>
      <c r="BC1477">
        <v>1</v>
      </c>
      <c r="BE1477">
        <v>0</v>
      </c>
      <c r="BF1477">
        <v>0</v>
      </c>
      <c r="BG1477">
        <v>0</v>
      </c>
      <c r="BH1477">
        <v>1800</v>
      </c>
      <c r="BI1477">
        <v>1</v>
      </c>
      <c r="BJ1477">
        <v>1</v>
      </c>
      <c r="BK1477">
        <v>1</v>
      </c>
      <c r="BL1477">
        <v>0</v>
      </c>
      <c r="BO1477">
        <v>0</v>
      </c>
      <c r="BP1477">
        <v>0</v>
      </c>
      <c r="BW1477" t="str">
        <f>"14:50:56.245"</f>
        <v>14:50:56.245</v>
      </c>
      <c r="CJ1477">
        <v>3</v>
      </c>
      <c r="CK1477">
        <v>2</v>
      </c>
      <c r="CL1477">
        <v>0</v>
      </c>
      <c r="CM1477">
        <v>2</v>
      </c>
      <c r="CN1477">
        <v>0</v>
      </c>
      <c r="CO1477">
        <v>3</v>
      </c>
      <c r="CP1477" t="s">
        <v>119</v>
      </c>
      <c r="CQ1477">
        <v>216</v>
      </c>
      <c r="CR1477">
        <v>0</v>
      </c>
      <c r="CW1477">
        <v>967170</v>
      </c>
      <c r="CY1477">
        <v>1</v>
      </c>
      <c r="CZ1477">
        <v>0</v>
      </c>
      <c r="DA1477">
        <v>1</v>
      </c>
      <c r="DB1477">
        <v>0</v>
      </c>
      <c r="DC1477">
        <v>0</v>
      </c>
      <c r="DD1477">
        <v>1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>"12/16/2021 14:50:57.344"</f>
        <v>12/16/2021 14:50:57.344</v>
      </c>
      <c r="C1478" t="str">
        <f t="shared" si="73"/>
        <v>FFDFD3C0</v>
      </c>
      <c r="D1478" t="s">
        <v>133</v>
      </c>
      <c r="E1478">
        <v>44</v>
      </c>
      <c r="H1478">
        <v>131</v>
      </c>
      <c r="I1478" t="s">
        <v>134</v>
      </c>
      <c r="J1478" t="s">
        <v>135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"14:50:57.133"</f>
        <v>14:50:57.133</v>
      </c>
      <c r="T1478" t="str">
        <f>"14:50:56.333"</f>
        <v>14:50:56.333</v>
      </c>
      <c r="U1478" t="str">
        <f t="shared" si="75"/>
        <v>A0F928</v>
      </c>
      <c r="V1478">
        <v>0</v>
      </c>
      <c r="W1478">
        <v>0</v>
      </c>
      <c r="X1478">
        <v>2</v>
      </c>
      <c r="Z1478">
        <v>0</v>
      </c>
      <c r="AA1478">
        <v>9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2</v>
      </c>
      <c r="AH1478">
        <v>1</v>
      </c>
      <c r="AI1478" t="s">
        <v>813</v>
      </c>
      <c r="AJ1478">
        <v>35.799464999999998</v>
      </c>
      <c r="AK1478" t="s">
        <v>814</v>
      </c>
      <c r="AL1478">
        <v>-84.044873999999993</v>
      </c>
      <c r="AM1478">
        <v>25</v>
      </c>
      <c r="AN1478">
        <v>1550</v>
      </c>
      <c r="AO1478" t="s">
        <v>118</v>
      </c>
      <c r="AP1478">
        <v>5</v>
      </c>
      <c r="AQ1478">
        <v>147</v>
      </c>
      <c r="AR1478">
        <v>128</v>
      </c>
      <c r="AZ1478">
        <v>300</v>
      </c>
      <c r="BA1478">
        <v>1</v>
      </c>
      <c r="BB1478" t="str">
        <f t="shared" si="74"/>
        <v xml:space="preserve">N162AM  </v>
      </c>
      <c r="BC1478">
        <v>1</v>
      </c>
      <c r="BE1478">
        <v>0</v>
      </c>
      <c r="BF1478">
        <v>0</v>
      </c>
      <c r="BG1478">
        <v>0</v>
      </c>
      <c r="BH1478">
        <v>1800</v>
      </c>
      <c r="BI1478">
        <v>1</v>
      </c>
      <c r="BJ1478">
        <v>1</v>
      </c>
      <c r="BK1478">
        <v>1</v>
      </c>
      <c r="BL1478">
        <v>0</v>
      </c>
      <c r="BO1478">
        <v>0</v>
      </c>
      <c r="BP1478">
        <v>0</v>
      </c>
      <c r="BW1478" t="str">
        <f>"14:50:57.140"</f>
        <v>14:50:57.140</v>
      </c>
      <c r="CJ1478">
        <v>3</v>
      </c>
      <c r="CK1478">
        <v>2</v>
      </c>
      <c r="CL1478">
        <v>0</v>
      </c>
      <c r="CM1478">
        <v>2</v>
      </c>
      <c r="CN1478">
        <v>0</v>
      </c>
      <c r="CO1478">
        <v>1</v>
      </c>
      <c r="CP1478" t="s">
        <v>119</v>
      </c>
      <c r="CQ1478">
        <v>216</v>
      </c>
      <c r="CR1478">
        <v>0</v>
      </c>
      <c r="CW1478">
        <v>968394</v>
      </c>
      <c r="CY1478">
        <v>1</v>
      </c>
      <c r="CZ1478">
        <v>0</v>
      </c>
      <c r="DA1478">
        <v>0</v>
      </c>
      <c r="DB1478">
        <v>0</v>
      </c>
      <c r="DC1478">
        <v>0</v>
      </c>
      <c r="DD1478">
        <v>1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>"12/16/2021 14:50:57.344"</f>
        <v>12/16/2021 14:50:57.344</v>
      </c>
      <c r="C1479" t="str">
        <f t="shared" si="73"/>
        <v>FFDFD3C0</v>
      </c>
      <c r="D1479" t="s">
        <v>124</v>
      </c>
      <c r="E1479">
        <v>10</v>
      </c>
      <c r="F1479">
        <v>1010</v>
      </c>
      <c r="G1479" t="s">
        <v>130</v>
      </c>
      <c r="J1479" t="s">
        <v>125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"14:50:57.133"</f>
        <v>14:50:57.133</v>
      </c>
      <c r="T1479" t="str">
        <f>"14:50:56.333"</f>
        <v>14:50:56.333</v>
      </c>
      <c r="U1479" t="str">
        <f t="shared" si="75"/>
        <v>A0F928</v>
      </c>
      <c r="V1479">
        <v>0</v>
      </c>
      <c r="W1479">
        <v>0</v>
      </c>
      <c r="X1479">
        <v>2</v>
      </c>
      <c r="Z1479">
        <v>0</v>
      </c>
      <c r="AA1479">
        <v>9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2</v>
      </c>
      <c r="AH1479">
        <v>1</v>
      </c>
      <c r="AI1479" t="s">
        <v>813</v>
      </c>
      <c r="AJ1479">
        <v>35.799464999999998</v>
      </c>
      <c r="AK1479" t="s">
        <v>814</v>
      </c>
      <c r="AL1479">
        <v>-84.044873999999993</v>
      </c>
      <c r="AM1479">
        <v>25</v>
      </c>
      <c r="AN1479">
        <v>1550</v>
      </c>
      <c r="AO1479" t="s">
        <v>118</v>
      </c>
      <c r="AP1479">
        <v>5</v>
      </c>
      <c r="AQ1479">
        <v>147</v>
      </c>
      <c r="AR1479">
        <v>128</v>
      </c>
      <c r="AZ1479">
        <v>300</v>
      </c>
      <c r="BA1479">
        <v>1</v>
      </c>
      <c r="BB1479" t="str">
        <f t="shared" si="74"/>
        <v xml:space="preserve">N162AM  </v>
      </c>
      <c r="BC1479">
        <v>1</v>
      </c>
      <c r="BE1479">
        <v>0</v>
      </c>
      <c r="BF1479">
        <v>0</v>
      </c>
      <c r="BG1479">
        <v>0</v>
      </c>
      <c r="BH1479">
        <v>1800</v>
      </c>
      <c r="BI1479">
        <v>1</v>
      </c>
      <c r="BJ1479">
        <v>1</v>
      </c>
      <c r="BK1479">
        <v>1</v>
      </c>
      <c r="BL1479">
        <v>0</v>
      </c>
      <c r="BO1479">
        <v>0</v>
      </c>
      <c r="BP1479">
        <v>0</v>
      </c>
      <c r="BW1479" t="str">
        <f>"14:50:57.140"</f>
        <v>14:50:57.140</v>
      </c>
      <c r="CJ1479">
        <v>3</v>
      </c>
      <c r="CK1479">
        <v>2</v>
      </c>
      <c r="CL1479">
        <v>0</v>
      </c>
      <c r="CM1479">
        <v>2</v>
      </c>
      <c r="CN1479">
        <v>0</v>
      </c>
      <c r="CO1479">
        <v>1</v>
      </c>
      <c r="CP1479" t="s">
        <v>119</v>
      </c>
      <c r="CQ1479">
        <v>216</v>
      </c>
      <c r="CR1479">
        <v>0</v>
      </c>
      <c r="CW1479">
        <v>968394</v>
      </c>
      <c r="CY1479">
        <v>1</v>
      </c>
      <c r="CZ1479">
        <v>0</v>
      </c>
      <c r="DA1479">
        <v>1</v>
      </c>
      <c r="DB1479">
        <v>0</v>
      </c>
      <c r="DC1479">
        <v>0</v>
      </c>
      <c r="DD1479">
        <v>1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>"12/16/2021 14:50:57.360"</f>
        <v>12/16/2021 14:50:57.360</v>
      </c>
      <c r="C1480" t="str">
        <f t="shared" si="73"/>
        <v>FFDFD3C0</v>
      </c>
      <c r="D1480" t="s">
        <v>124</v>
      </c>
      <c r="E1480">
        <v>5</v>
      </c>
      <c r="F1480">
        <v>1005</v>
      </c>
      <c r="G1480" t="s">
        <v>114</v>
      </c>
      <c r="J1480" t="s">
        <v>125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"14:50:57.133"</f>
        <v>14:50:57.133</v>
      </c>
      <c r="T1480" t="str">
        <f>"14:50:56.333"</f>
        <v>14:50:56.333</v>
      </c>
      <c r="U1480" t="str">
        <f t="shared" si="75"/>
        <v>A0F928</v>
      </c>
      <c r="V1480">
        <v>0</v>
      </c>
      <c r="W1480">
        <v>0</v>
      </c>
      <c r="X1480">
        <v>2</v>
      </c>
      <c r="Z1480">
        <v>0</v>
      </c>
      <c r="AA1480">
        <v>9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2</v>
      </c>
      <c r="AH1480">
        <v>1</v>
      </c>
      <c r="AI1480" t="s">
        <v>813</v>
      </c>
      <c r="AJ1480">
        <v>35.799464999999998</v>
      </c>
      <c r="AK1480" t="s">
        <v>814</v>
      </c>
      <c r="AL1480">
        <v>-84.044873999999993</v>
      </c>
      <c r="AM1480">
        <v>25</v>
      </c>
      <c r="AN1480">
        <v>1550</v>
      </c>
      <c r="AO1480" t="s">
        <v>118</v>
      </c>
      <c r="AP1480">
        <v>5</v>
      </c>
      <c r="AQ1480">
        <v>147</v>
      </c>
      <c r="AR1480">
        <v>128</v>
      </c>
      <c r="AZ1480">
        <v>300</v>
      </c>
      <c r="BA1480">
        <v>1</v>
      </c>
      <c r="BB1480" t="str">
        <f t="shared" si="74"/>
        <v xml:space="preserve">N162AM  </v>
      </c>
      <c r="BC1480">
        <v>1</v>
      </c>
      <c r="BE1480">
        <v>0</v>
      </c>
      <c r="BF1480">
        <v>0</v>
      </c>
      <c r="BG1480">
        <v>0</v>
      </c>
      <c r="BH1480">
        <v>1800</v>
      </c>
      <c r="BI1480">
        <v>1</v>
      </c>
      <c r="BJ1480">
        <v>1</v>
      </c>
      <c r="BK1480">
        <v>1</v>
      </c>
      <c r="BL1480">
        <v>0</v>
      </c>
      <c r="BO1480">
        <v>0</v>
      </c>
      <c r="BP1480">
        <v>0</v>
      </c>
      <c r="BW1480" t="str">
        <f>"14:50:57.140"</f>
        <v>14:50:57.140</v>
      </c>
      <c r="CJ1480">
        <v>3</v>
      </c>
      <c r="CK1480">
        <v>2</v>
      </c>
      <c r="CL1480">
        <v>0</v>
      </c>
      <c r="CM1480">
        <v>2</v>
      </c>
      <c r="CN1480">
        <v>0</v>
      </c>
      <c r="CO1480">
        <v>1</v>
      </c>
      <c r="CP1480" t="s">
        <v>119</v>
      </c>
      <c r="CQ1480">
        <v>216</v>
      </c>
      <c r="CR1480">
        <v>0</v>
      </c>
      <c r="CW1480">
        <v>968394</v>
      </c>
      <c r="CY1480">
        <v>1</v>
      </c>
      <c r="CZ1480">
        <v>0</v>
      </c>
      <c r="DA1480">
        <v>1</v>
      </c>
      <c r="DB1480">
        <v>0</v>
      </c>
      <c r="DC1480">
        <v>0</v>
      </c>
      <c r="DD1480">
        <v>1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>"12/16/2021 14:50:57.360"</f>
        <v>12/16/2021 14:50:57.360</v>
      </c>
      <c r="C1481" t="str">
        <f t="shared" si="73"/>
        <v>FFDFD3C0</v>
      </c>
      <c r="D1481" t="s">
        <v>113</v>
      </c>
      <c r="E1481">
        <v>8</v>
      </c>
      <c r="H1481">
        <v>176</v>
      </c>
      <c r="I1481" t="s">
        <v>114</v>
      </c>
      <c r="J1481" t="s">
        <v>115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>"14:50:57.133"</f>
        <v>14:50:57.133</v>
      </c>
      <c r="T1481" t="str">
        <f>"14:50:56.333"</f>
        <v>14:50:56.333</v>
      </c>
      <c r="U1481" t="str">
        <f t="shared" si="75"/>
        <v>A0F928</v>
      </c>
      <c r="V1481">
        <v>0</v>
      </c>
      <c r="W1481">
        <v>0</v>
      </c>
      <c r="X1481">
        <v>2</v>
      </c>
      <c r="Z1481">
        <v>0</v>
      </c>
      <c r="AA1481">
        <v>9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2</v>
      </c>
      <c r="AH1481">
        <v>1</v>
      </c>
      <c r="AI1481" t="s">
        <v>813</v>
      </c>
      <c r="AJ1481">
        <v>35.799464999999998</v>
      </c>
      <c r="AK1481" t="s">
        <v>814</v>
      </c>
      <c r="AL1481">
        <v>-84.044873999999993</v>
      </c>
      <c r="AM1481">
        <v>25</v>
      </c>
      <c r="AN1481">
        <v>1550</v>
      </c>
      <c r="AO1481" t="s">
        <v>118</v>
      </c>
      <c r="AP1481">
        <v>5</v>
      </c>
      <c r="AQ1481">
        <v>147</v>
      </c>
      <c r="AR1481">
        <v>128</v>
      </c>
      <c r="AZ1481">
        <v>300</v>
      </c>
      <c r="BA1481">
        <v>1</v>
      </c>
      <c r="BB1481" t="str">
        <f t="shared" si="74"/>
        <v xml:space="preserve">N162AM  </v>
      </c>
      <c r="BC1481">
        <v>1</v>
      </c>
      <c r="BE1481">
        <v>0</v>
      </c>
      <c r="BF1481">
        <v>0</v>
      </c>
      <c r="BG1481">
        <v>0</v>
      </c>
      <c r="BH1481">
        <v>1800</v>
      </c>
      <c r="BI1481">
        <v>1</v>
      </c>
      <c r="BJ1481">
        <v>1</v>
      </c>
      <c r="BK1481">
        <v>1</v>
      </c>
      <c r="BL1481">
        <v>0</v>
      </c>
      <c r="BO1481">
        <v>0</v>
      </c>
      <c r="BP1481">
        <v>0</v>
      </c>
      <c r="BW1481" t="str">
        <f>"14:50:57.140"</f>
        <v>14:50:57.140</v>
      </c>
      <c r="CJ1481">
        <v>3</v>
      </c>
      <c r="CK1481">
        <v>2</v>
      </c>
      <c r="CL1481">
        <v>0</v>
      </c>
      <c r="CM1481">
        <v>2</v>
      </c>
      <c r="CN1481">
        <v>0</v>
      </c>
      <c r="CO1481">
        <v>1</v>
      </c>
      <c r="CP1481" t="s">
        <v>119</v>
      </c>
      <c r="CQ1481">
        <v>216</v>
      </c>
      <c r="CR1481">
        <v>0</v>
      </c>
      <c r="CW1481">
        <v>968394</v>
      </c>
      <c r="CY1481">
        <v>1</v>
      </c>
      <c r="CZ1481">
        <v>0</v>
      </c>
      <c r="DA1481">
        <v>1</v>
      </c>
      <c r="DB1481">
        <v>0</v>
      </c>
      <c r="DC1481">
        <v>0</v>
      </c>
      <c r="DD1481">
        <v>1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>"12/16/2021 14:50:58.751"</f>
        <v>12/16/2021 14:50:58.751</v>
      </c>
      <c r="C1482" t="str">
        <f t="shared" si="73"/>
        <v>FFDFD3C0</v>
      </c>
      <c r="D1482" t="s">
        <v>133</v>
      </c>
      <c r="E1482">
        <v>44</v>
      </c>
      <c r="H1482">
        <v>131</v>
      </c>
      <c r="I1482" t="s">
        <v>134</v>
      </c>
      <c r="J1482" t="s">
        <v>135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>"14:50:58.563"</f>
        <v>14:50:58.563</v>
      </c>
      <c r="T1482" t="str">
        <f>"14:50:58.163"</f>
        <v>14:50:58.163</v>
      </c>
      <c r="U1482" t="str">
        <f t="shared" si="75"/>
        <v>A0F928</v>
      </c>
      <c r="V1482">
        <v>0</v>
      </c>
      <c r="W1482">
        <v>0</v>
      </c>
      <c r="X1482">
        <v>2</v>
      </c>
      <c r="Z1482">
        <v>0</v>
      </c>
      <c r="AA1482">
        <v>9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2</v>
      </c>
      <c r="AH1482">
        <v>1</v>
      </c>
      <c r="AI1482" t="s">
        <v>474</v>
      </c>
      <c r="AJ1482">
        <v>35.800452</v>
      </c>
      <c r="AK1482" t="s">
        <v>815</v>
      </c>
      <c r="AL1482">
        <v>-84.044724000000002</v>
      </c>
      <c r="AM1482">
        <v>25</v>
      </c>
      <c r="AN1482">
        <v>1550</v>
      </c>
      <c r="AO1482" t="s">
        <v>118</v>
      </c>
      <c r="AP1482">
        <v>19</v>
      </c>
      <c r="AQ1482">
        <v>145</v>
      </c>
      <c r="AR1482">
        <v>128</v>
      </c>
      <c r="AZ1482">
        <v>300</v>
      </c>
      <c r="BA1482">
        <v>1</v>
      </c>
      <c r="BB1482" t="str">
        <f t="shared" si="74"/>
        <v xml:space="preserve">N162AM  </v>
      </c>
      <c r="BC1482">
        <v>1</v>
      </c>
      <c r="BE1482">
        <v>0</v>
      </c>
      <c r="BF1482">
        <v>0</v>
      </c>
      <c r="BG1482">
        <v>0</v>
      </c>
      <c r="BH1482">
        <v>1825</v>
      </c>
      <c r="BI1482">
        <v>1</v>
      </c>
      <c r="BJ1482">
        <v>1</v>
      </c>
      <c r="BK1482">
        <v>1</v>
      </c>
      <c r="BL1482">
        <v>0</v>
      </c>
      <c r="BO1482">
        <v>0</v>
      </c>
      <c r="BP1482">
        <v>0</v>
      </c>
      <c r="BW1482" t="str">
        <f>"14:50:58.570"</f>
        <v>14:50:58.570</v>
      </c>
      <c r="CJ1482">
        <v>3</v>
      </c>
      <c r="CK1482">
        <v>2</v>
      </c>
      <c r="CL1482">
        <v>0</v>
      </c>
      <c r="CM1482">
        <v>2</v>
      </c>
      <c r="CN1482">
        <v>0</v>
      </c>
      <c r="CO1482">
        <v>5</v>
      </c>
      <c r="CP1482" t="s">
        <v>119</v>
      </c>
      <c r="CQ1482">
        <v>232</v>
      </c>
      <c r="CR1482">
        <v>2</v>
      </c>
      <c r="CW1482">
        <v>6792141</v>
      </c>
      <c r="CY1482">
        <v>1</v>
      </c>
      <c r="CZ1482">
        <v>0</v>
      </c>
      <c r="DA1482">
        <v>0</v>
      </c>
      <c r="DB1482">
        <v>0</v>
      </c>
      <c r="DC1482">
        <v>0</v>
      </c>
      <c r="DD1482">
        <v>1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>"12/16/2021 14:50:58.751"</f>
        <v>12/16/2021 14:50:58.751</v>
      </c>
      <c r="C1483" t="str">
        <f t="shared" si="73"/>
        <v>FFDFD3C0</v>
      </c>
      <c r="D1483" t="s">
        <v>124</v>
      </c>
      <c r="E1483">
        <v>10</v>
      </c>
      <c r="F1483">
        <v>1010</v>
      </c>
      <c r="G1483" t="s">
        <v>130</v>
      </c>
      <c r="J1483" t="s">
        <v>125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>"14:50:58.563"</f>
        <v>14:50:58.563</v>
      </c>
      <c r="T1483" t="str">
        <f>"14:50:58.163"</f>
        <v>14:50:58.163</v>
      </c>
      <c r="U1483" t="str">
        <f t="shared" si="75"/>
        <v>A0F928</v>
      </c>
      <c r="V1483">
        <v>0</v>
      </c>
      <c r="W1483">
        <v>0</v>
      </c>
      <c r="X1483">
        <v>2</v>
      </c>
      <c r="Z1483">
        <v>0</v>
      </c>
      <c r="AA1483">
        <v>9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2</v>
      </c>
      <c r="AH1483">
        <v>1</v>
      </c>
      <c r="AI1483" t="s">
        <v>474</v>
      </c>
      <c r="AJ1483">
        <v>35.800452</v>
      </c>
      <c r="AK1483" t="s">
        <v>815</v>
      </c>
      <c r="AL1483">
        <v>-84.044724000000002</v>
      </c>
      <c r="AM1483">
        <v>25</v>
      </c>
      <c r="AN1483">
        <v>1550</v>
      </c>
      <c r="AO1483" t="s">
        <v>118</v>
      </c>
      <c r="AP1483">
        <v>19</v>
      </c>
      <c r="AQ1483">
        <v>145</v>
      </c>
      <c r="AR1483">
        <v>128</v>
      </c>
      <c r="AZ1483">
        <v>300</v>
      </c>
      <c r="BA1483">
        <v>1</v>
      </c>
      <c r="BB1483" t="str">
        <f t="shared" si="74"/>
        <v xml:space="preserve">N162AM  </v>
      </c>
      <c r="BC1483">
        <v>1</v>
      </c>
      <c r="BE1483">
        <v>0</v>
      </c>
      <c r="BF1483">
        <v>0</v>
      </c>
      <c r="BG1483">
        <v>0</v>
      </c>
      <c r="BH1483">
        <v>1825</v>
      </c>
      <c r="BI1483">
        <v>1</v>
      </c>
      <c r="BJ1483">
        <v>1</v>
      </c>
      <c r="BK1483">
        <v>1</v>
      </c>
      <c r="BL1483">
        <v>0</v>
      </c>
      <c r="BO1483">
        <v>0</v>
      </c>
      <c r="BP1483">
        <v>0</v>
      </c>
      <c r="BW1483" t="str">
        <f>"14:50:58.570"</f>
        <v>14:50:58.570</v>
      </c>
      <c r="CJ1483">
        <v>3</v>
      </c>
      <c r="CK1483">
        <v>2</v>
      </c>
      <c r="CL1483">
        <v>0</v>
      </c>
      <c r="CM1483">
        <v>2</v>
      </c>
      <c r="CN1483">
        <v>0</v>
      </c>
      <c r="CO1483">
        <v>5</v>
      </c>
      <c r="CP1483" t="s">
        <v>119</v>
      </c>
      <c r="CQ1483">
        <v>232</v>
      </c>
      <c r="CR1483">
        <v>2</v>
      </c>
      <c r="CW1483">
        <v>6792141</v>
      </c>
      <c r="CY1483">
        <v>1</v>
      </c>
      <c r="CZ1483">
        <v>0</v>
      </c>
      <c r="DA1483">
        <v>1</v>
      </c>
      <c r="DB1483">
        <v>0</v>
      </c>
      <c r="DC1483">
        <v>0</v>
      </c>
      <c r="DD1483">
        <v>1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>"12/16/2021 14:50:58.766"</f>
        <v>12/16/2021 14:50:58.766</v>
      </c>
      <c r="C1484" t="str">
        <f t="shared" si="73"/>
        <v>FFDFD3C0</v>
      </c>
      <c r="D1484" t="s">
        <v>124</v>
      </c>
      <c r="E1484">
        <v>5</v>
      </c>
      <c r="F1484">
        <v>1005</v>
      </c>
      <c r="G1484" t="s">
        <v>114</v>
      </c>
      <c r="J1484" t="s">
        <v>125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>"14:50:58.563"</f>
        <v>14:50:58.563</v>
      </c>
      <c r="T1484" t="str">
        <f>"14:50:58.163"</f>
        <v>14:50:58.163</v>
      </c>
      <c r="U1484" t="str">
        <f t="shared" si="75"/>
        <v>A0F928</v>
      </c>
      <c r="V1484">
        <v>0</v>
      </c>
      <c r="W1484">
        <v>0</v>
      </c>
      <c r="X1484">
        <v>2</v>
      </c>
      <c r="Z1484">
        <v>0</v>
      </c>
      <c r="AA1484">
        <v>9</v>
      </c>
      <c r="AB1484">
        <v>3</v>
      </c>
      <c r="AC1484">
        <v>0</v>
      </c>
      <c r="AD1484">
        <v>10</v>
      </c>
      <c r="AE1484">
        <v>0</v>
      </c>
      <c r="AF1484">
        <v>3</v>
      </c>
      <c r="AG1484">
        <v>2</v>
      </c>
      <c r="AH1484">
        <v>1</v>
      </c>
      <c r="AI1484" t="s">
        <v>474</v>
      </c>
      <c r="AJ1484">
        <v>35.800452</v>
      </c>
      <c r="AK1484" t="s">
        <v>815</v>
      </c>
      <c r="AL1484">
        <v>-84.044724000000002</v>
      </c>
      <c r="AM1484">
        <v>25</v>
      </c>
      <c r="AN1484">
        <v>1550</v>
      </c>
      <c r="AO1484" t="s">
        <v>118</v>
      </c>
      <c r="AP1484">
        <v>19</v>
      </c>
      <c r="AQ1484">
        <v>145</v>
      </c>
      <c r="AR1484">
        <v>128</v>
      </c>
      <c r="AZ1484">
        <v>300</v>
      </c>
      <c r="BA1484">
        <v>1</v>
      </c>
      <c r="BB1484" t="str">
        <f t="shared" si="74"/>
        <v xml:space="preserve">N162AM  </v>
      </c>
      <c r="BC1484">
        <v>1</v>
      </c>
      <c r="BE1484">
        <v>0</v>
      </c>
      <c r="BF1484">
        <v>0</v>
      </c>
      <c r="BG1484">
        <v>0</v>
      </c>
      <c r="BH1484">
        <v>1825</v>
      </c>
      <c r="BI1484">
        <v>1</v>
      </c>
      <c r="BJ1484">
        <v>1</v>
      </c>
      <c r="BK1484">
        <v>1</v>
      </c>
      <c r="BL1484">
        <v>0</v>
      </c>
      <c r="BO1484">
        <v>0</v>
      </c>
      <c r="BP1484">
        <v>0</v>
      </c>
      <c r="BW1484" t="str">
        <f>"14:50:58.570"</f>
        <v>14:50:58.570</v>
      </c>
      <c r="CJ1484">
        <v>3</v>
      </c>
      <c r="CK1484">
        <v>2</v>
      </c>
      <c r="CL1484">
        <v>0</v>
      </c>
      <c r="CM1484">
        <v>2</v>
      </c>
      <c r="CN1484">
        <v>0</v>
      </c>
      <c r="CO1484">
        <v>5</v>
      </c>
      <c r="CP1484" t="s">
        <v>119</v>
      </c>
      <c r="CQ1484">
        <v>232</v>
      </c>
      <c r="CR1484">
        <v>2</v>
      </c>
      <c r="CW1484">
        <v>6792141</v>
      </c>
      <c r="CY1484">
        <v>1</v>
      </c>
      <c r="CZ1484">
        <v>0</v>
      </c>
      <c r="DA1484">
        <v>1</v>
      </c>
      <c r="DB1484">
        <v>0</v>
      </c>
      <c r="DC1484">
        <v>0</v>
      </c>
      <c r="DD1484">
        <v>1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>"12/16/2021 14:50:58.797"</f>
        <v>12/16/2021 14:50:58.797</v>
      </c>
      <c r="C1485" t="str">
        <f t="shared" si="73"/>
        <v>FFDFD3C0</v>
      </c>
      <c r="D1485" t="s">
        <v>113</v>
      </c>
      <c r="E1485">
        <v>8</v>
      </c>
      <c r="H1485">
        <v>176</v>
      </c>
      <c r="I1485" t="s">
        <v>114</v>
      </c>
      <c r="J1485" t="s">
        <v>115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>"14:50:58.563"</f>
        <v>14:50:58.563</v>
      </c>
      <c r="T1485" t="str">
        <f>"14:50:58.163"</f>
        <v>14:50:58.163</v>
      </c>
      <c r="U1485" t="str">
        <f t="shared" si="75"/>
        <v>A0F928</v>
      </c>
      <c r="V1485">
        <v>0</v>
      </c>
      <c r="W1485">
        <v>0</v>
      </c>
      <c r="X1485">
        <v>2</v>
      </c>
      <c r="Z1485">
        <v>0</v>
      </c>
      <c r="AA1485">
        <v>9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2</v>
      </c>
      <c r="AH1485">
        <v>1</v>
      </c>
      <c r="AI1485" t="s">
        <v>474</v>
      </c>
      <c r="AJ1485">
        <v>35.800452</v>
      </c>
      <c r="AK1485" t="s">
        <v>815</v>
      </c>
      <c r="AL1485">
        <v>-84.044724000000002</v>
      </c>
      <c r="AM1485">
        <v>25</v>
      </c>
      <c r="AN1485">
        <v>1550</v>
      </c>
      <c r="AO1485" t="s">
        <v>118</v>
      </c>
      <c r="AP1485">
        <v>19</v>
      </c>
      <c r="AQ1485">
        <v>145</v>
      </c>
      <c r="AR1485">
        <v>128</v>
      </c>
      <c r="AZ1485">
        <v>300</v>
      </c>
      <c r="BA1485">
        <v>1</v>
      </c>
      <c r="BB1485" t="str">
        <f t="shared" si="74"/>
        <v xml:space="preserve">N162AM  </v>
      </c>
      <c r="BC1485">
        <v>1</v>
      </c>
      <c r="BE1485">
        <v>0</v>
      </c>
      <c r="BF1485">
        <v>0</v>
      </c>
      <c r="BG1485">
        <v>0</v>
      </c>
      <c r="BH1485">
        <v>1825</v>
      </c>
      <c r="BI1485">
        <v>1</v>
      </c>
      <c r="BJ1485">
        <v>1</v>
      </c>
      <c r="BK1485">
        <v>1</v>
      </c>
      <c r="BL1485">
        <v>0</v>
      </c>
      <c r="BO1485">
        <v>0</v>
      </c>
      <c r="BP1485">
        <v>0</v>
      </c>
      <c r="BW1485" t="str">
        <f>"14:50:58.570"</f>
        <v>14:50:58.570</v>
      </c>
      <c r="CJ1485">
        <v>3</v>
      </c>
      <c r="CK1485">
        <v>2</v>
      </c>
      <c r="CL1485">
        <v>0</v>
      </c>
      <c r="CM1485">
        <v>2</v>
      </c>
      <c r="CN1485">
        <v>0</v>
      </c>
      <c r="CO1485">
        <v>5</v>
      </c>
      <c r="CP1485" t="s">
        <v>119</v>
      </c>
      <c r="CQ1485">
        <v>232</v>
      </c>
      <c r="CR1485">
        <v>2</v>
      </c>
      <c r="CW1485">
        <v>6792141</v>
      </c>
      <c r="CY1485">
        <v>1</v>
      </c>
      <c r="CZ1485">
        <v>0</v>
      </c>
      <c r="DA1485">
        <v>1</v>
      </c>
      <c r="DB1485">
        <v>0</v>
      </c>
      <c r="DC1485">
        <v>0</v>
      </c>
      <c r="DD1485">
        <v>1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>"12/16/2021 14:50:59.960"</f>
        <v>12/16/2021 14:50:59.960</v>
      </c>
      <c r="C1486" t="str">
        <f t="shared" si="73"/>
        <v>FFDFD3C0</v>
      </c>
      <c r="D1486" t="s">
        <v>113</v>
      </c>
      <c r="E1486">
        <v>8</v>
      </c>
      <c r="H1486">
        <v>176</v>
      </c>
      <c r="I1486" t="s">
        <v>114</v>
      </c>
      <c r="J1486" t="s">
        <v>115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"14:50:59.727"</f>
        <v>14:50:59.727</v>
      </c>
      <c r="T1486" t="str">
        <f>"14:50:59.227"</f>
        <v>14:50:59.227</v>
      </c>
      <c r="U1486" t="str">
        <f t="shared" si="75"/>
        <v>A0F928</v>
      </c>
      <c r="V1486">
        <v>0</v>
      </c>
      <c r="W1486">
        <v>0</v>
      </c>
      <c r="X1486">
        <v>2</v>
      </c>
      <c r="Z1486">
        <v>0</v>
      </c>
      <c r="AA1486">
        <v>9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2</v>
      </c>
      <c r="AH1486">
        <v>1</v>
      </c>
      <c r="AI1486" t="s">
        <v>816</v>
      </c>
      <c r="AJ1486">
        <v>35.801225000000002</v>
      </c>
      <c r="AK1486" t="s">
        <v>817</v>
      </c>
      <c r="AL1486">
        <v>-84.044595000000001</v>
      </c>
      <c r="AM1486">
        <v>25</v>
      </c>
      <c r="AN1486">
        <v>1550</v>
      </c>
      <c r="AO1486" t="s">
        <v>118</v>
      </c>
      <c r="AP1486">
        <v>26</v>
      </c>
      <c r="AQ1486">
        <v>143</v>
      </c>
      <c r="AR1486">
        <v>64</v>
      </c>
      <c r="AZ1486">
        <v>300</v>
      </c>
      <c r="BA1486">
        <v>1</v>
      </c>
      <c r="BB1486" t="str">
        <f t="shared" si="74"/>
        <v xml:space="preserve">N162AM  </v>
      </c>
      <c r="BC1486">
        <v>1</v>
      </c>
      <c r="BE1486">
        <v>0</v>
      </c>
      <c r="BF1486">
        <v>0</v>
      </c>
      <c r="BG1486">
        <v>0</v>
      </c>
      <c r="BH1486">
        <v>1825</v>
      </c>
      <c r="BI1486">
        <v>1</v>
      </c>
      <c r="BJ1486">
        <v>1</v>
      </c>
      <c r="BK1486">
        <v>1</v>
      </c>
      <c r="BL1486">
        <v>0</v>
      </c>
      <c r="BO1486">
        <v>0</v>
      </c>
      <c r="BP1486">
        <v>0</v>
      </c>
      <c r="BW1486" t="str">
        <f>"14:50:59.727"</f>
        <v>14:50:59.727</v>
      </c>
      <c r="CJ1486">
        <v>3</v>
      </c>
      <c r="CK1486">
        <v>2</v>
      </c>
      <c r="CL1486">
        <v>0</v>
      </c>
      <c r="CM1486">
        <v>2</v>
      </c>
      <c r="CN1486">
        <v>0</v>
      </c>
      <c r="CO1486">
        <v>5</v>
      </c>
      <c r="CP1486" t="s">
        <v>119</v>
      </c>
      <c r="CQ1486">
        <v>232</v>
      </c>
      <c r="CR1486">
        <v>2</v>
      </c>
      <c r="CW1486">
        <v>6793971</v>
      </c>
      <c r="CY1486">
        <v>1</v>
      </c>
      <c r="CZ1486">
        <v>0</v>
      </c>
      <c r="DA1486">
        <v>0</v>
      </c>
      <c r="DB1486">
        <v>0</v>
      </c>
      <c r="DC1486">
        <v>0</v>
      </c>
      <c r="DD1486">
        <v>1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>"12/16/2021 14:50:59.960"</f>
        <v>12/16/2021 14:50:59.960</v>
      </c>
      <c r="C1487" t="str">
        <f t="shared" si="73"/>
        <v>FFDFD3C0</v>
      </c>
      <c r="D1487" t="s">
        <v>133</v>
      </c>
      <c r="E1487">
        <v>44</v>
      </c>
      <c r="H1487">
        <v>131</v>
      </c>
      <c r="I1487" t="s">
        <v>134</v>
      </c>
      <c r="J1487" t="s">
        <v>135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"14:50:59.727"</f>
        <v>14:50:59.727</v>
      </c>
      <c r="T1487" t="str">
        <f>"14:50:59.227"</f>
        <v>14:50:59.227</v>
      </c>
      <c r="U1487" t="str">
        <f t="shared" si="75"/>
        <v>A0F928</v>
      </c>
      <c r="V1487">
        <v>0</v>
      </c>
      <c r="W1487">
        <v>0</v>
      </c>
      <c r="X1487">
        <v>2</v>
      </c>
      <c r="Z1487">
        <v>0</v>
      </c>
      <c r="AA1487">
        <v>9</v>
      </c>
      <c r="AB1487">
        <v>3</v>
      </c>
      <c r="AC1487">
        <v>0</v>
      </c>
      <c r="AD1487">
        <v>10</v>
      </c>
      <c r="AE1487">
        <v>0</v>
      </c>
      <c r="AF1487">
        <v>3</v>
      </c>
      <c r="AG1487">
        <v>2</v>
      </c>
      <c r="AH1487">
        <v>1</v>
      </c>
      <c r="AI1487" t="s">
        <v>816</v>
      </c>
      <c r="AJ1487">
        <v>35.801225000000002</v>
      </c>
      <c r="AK1487" t="s">
        <v>817</v>
      </c>
      <c r="AL1487">
        <v>-84.044595000000001</v>
      </c>
      <c r="AM1487">
        <v>25</v>
      </c>
      <c r="AN1487">
        <v>1550</v>
      </c>
      <c r="AO1487" t="s">
        <v>118</v>
      </c>
      <c r="AP1487">
        <v>26</v>
      </c>
      <c r="AQ1487">
        <v>143</v>
      </c>
      <c r="AR1487">
        <v>64</v>
      </c>
      <c r="AZ1487">
        <v>300</v>
      </c>
      <c r="BA1487">
        <v>1</v>
      </c>
      <c r="BB1487" t="str">
        <f t="shared" si="74"/>
        <v xml:space="preserve">N162AM  </v>
      </c>
      <c r="BC1487">
        <v>1</v>
      </c>
      <c r="BE1487">
        <v>0</v>
      </c>
      <c r="BF1487">
        <v>0</v>
      </c>
      <c r="BG1487">
        <v>0</v>
      </c>
      <c r="BH1487">
        <v>1825</v>
      </c>
      <c r="BI1487">
        <v>1</v>
      </c>
      <c r="BJ1487">
        <v>1</v>
      </c>
      <c r="BK1487">
        <v>1</v>
      </c>
      <c r="BL1487">
        <v>0</v>
      </c>
      <c r="BO1487">
        <v>0</v>
      </c>
      <c r="BP1487">
        <v>0</v>
      </c>
      <c r="BW1487" t="str">
        <f>"14:50:59.727"</f>
        <v>14:50:59.727</v>
      </c>
      <c r="CJ1487">
        <v>3</v>
      </c>
      <c r="CK1487">
        <v>2</v>
      </c>
      <c r="CL1487">
        <v>0</v>
      </c>
      <c r="CM1487">
        <v>2</v>
      </c>
      <c r="CN1487">
        <v>0</v>
      </c>
      <c r="CO1487">
        <v>5</v>
      </c>
      <c r="CP1487" t="s">
        <v>119</v>
      </c>
      <c r="CQ1487">
        <v>232</v>
      </c>
      <c r="CR1487">
        <v>2</v>
      </c>
      <c r="CW1487">
        <v>6793971</v>
      </c>
      <c r="CY1487">
        <v>1</v>
      </c>
      <c r="CZ1487">
        <v>0</v>
      </c>
      <c r="DA1487">
        <v>1</v>
      </c>
      <c r="DB1487">
        <v>0</v>
      </c>
      <c r="DC1487">
        <v>0</v>
      </c>
      <c r="DD1487">
        <v>1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>"12/16/2021 14:50:59.960"</f>
        <v>12/16/2021 14:50:59.960</v>
      </c>
      <c r="C1488" t="str">
        <f t="shared" si="73"/>
        <v>FFDFD3C0</v>
      </c>
      <c r="D1488" t="s">
        <v>124</v>
      </c>
      <c r="E1488">
        <v>10</v>
      </c>
      <c r="F1488">
        <v>1010</v>
      </c>
      <c r="G1488" t="s">
        <v>130</v>
      </c>
      <c r="J1488" t="s">
        <v>125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"14:50:59.727"</f>
        <v>14:50:59.727</v>
      </c>
      <c r="T1488" t="str">
        <f>"14:50:59.227"</f>
        <v>14:50:59.227</v>
      </c>
      <c r="U1488" t="str">
        <f t="shared" si="75"/>
        <v>A0F928</v>
      </c>
      <c r="V1488">
        <v>0</v>
      </c>
      <c r="W1488">
        <v>0</v>
      </c>
      <c r="X1488">
        <v>2</v>
      </c>
      <c r="Z1488">
        <v>0</v>
      </c>
      <c r="AA1488">
        <v>9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2</v>
      </c>
      <c r="AH1488">
        <v>1</v>
      </c>
      <c r="AI1488" t="s">
        <v>816</v>
      </c>
      <c r="AJ1488">
        <v>35.801225000000002</v>
      </c>
      <c r="AK1488" t="s">
        <v>817</v>
      </c>
      <c r="AL1488">
        <v>-84.044595000000001</v>
      </c>
      <c r="AM1488">
        <v>25</v>
      </c>
      <c r="AN1488">
        <v>1550</v>
      </c>
      <c r="AO1488" t="s">
        <v>118</v>
      </c>
      <c r="AP1488">
        <v>26</v>
      </c>
      <c r="AQ1488">
        <v>143</v>
      </c>
      <c r="AR1488">
        <v>64</v>
      </c>
      <c r="AZ1488">
        <v>300</v>
      </c>
      <c r="BA1488">
        <v>1</v>
      </c>
      <c r="BB1488" t="str">
        <f t="shared" si="74"/>
        <v xml:space="preserve">N162AM  </v>
      </c>
      <c r="BC1488">
        <v>1</v>
      </c>
      <c r="BE1488">
        <v>0</v>
      </c>
      <c r="BF1488">
        <v>0</v>
      </c>
      <c r="BG1488">
        <v>0</v>
      </c>
      <c r="BH1488">
        <v>1825</v>
      </c>
      <c r="BI1488">
        <v>1</v>
      </c>
      <c r="BJ1488">
        <v>1</v>
      </c>
      <c r="BK1488">
        <v>1</v>
      </c>
      <c r="BL1488">
        <v>0</v>
      </c>
      <c r="BO1488">
        <v>0</v>
      </c>
      <c r="BP1488">
        <v>0</v>
      </c>
      <c r="BW1488" t="str">
        <f>"14:50:59.727"</f>
        <v>14:50:59.727</v>
      </c>
      <c r="CJ1488">
        <v>3</v>
      </c>
      <c r="CK1488">
        <v>2</v>
      </c>
      <c r="CL1488">
        <v>0</v>
      </c>
      <c r="CM1488">
        <v>2</v>
      </c>
      <c r="CN1488">
        <v>0</v>
      </c>
      <c r="CO1488">
        <v>5</v>
      </c>
      <c r="CP1488" t="s">
        <v>119</v>
      </c>
      <c r="CQ1488">
        <v>232</v>
      </c>
      <c r="CR1488">
        <v>2</v>
      </c>
      <c r="CW1488">
        <v>6793971</v>
      </c>
      <c r="CY1488">
        <v>1</v>
      </c>
      <c r="CZ1488">
        <v>0</v>
      </c>
      <c r="DA1488">
        <v>1</v>
      </c>
      <c r="DB1488">
        <v>0</v>
      </c>
      <c r="DC1488">
        <v>0</v>
      </c>
      <c r="DD1488">
        <v>1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>"12/16/2021 14:50:59.991"</f>
        <v>12/16/2021 14:50:59.991</v>
      </c>
      <c r="C1489" t="str">
        <f t="shared" si="73"/>
        <v>FFDFD3C0</v>
      </c>
      <c r="D1489" t="s">
        <v>124</v>
      </c>
      <c r="E1489">
        <v>5</v>
      </c>
      <c r="F1489">
        <v>1005</v>
      </c>
      <c r="G1489" t="s">
        <v>114</v>
      </c>
      <c r="J1489" t="s">
        <v>125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"14:50:59.727"</f>
        <v>14:50:59.727</v>
      </c>
      <c r="T1489" t="str">
        <f>"14:50:59.227"</f>
        <v>14:50:59.227</v>
      </c>
      <c r="U1489" t="str">
        <f t="shared" si="75"/>
        <v>A0F928</v>
      </c>
      <c r="V1489">
        <v>0</v>
      </c>
      <c r="W1489">
        <v>0</v>
      </c>
      <c r="X1489">
        <v>2</v>
      </c>
      <c r="Z1489">
        <v>0</v>
      </c>
      <c r="AA1489">
        <v>9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2</v>
      </c>
      <c r="AH1489">
        <v>1</v>
      </c>
      <c r="AI1489" t="s">
        <v>816</v>
      </c>
      <c r="AJ1489">
        <v>35.801225000000002</v>
      </c>
      <c r="AK1489" t="s">
        <v>817</v>
      </c>
      <c r="AL1489">
        <v>-84.044595000000001</v>
      </c>
      <c r="AM1489">
        <v>25</v>
      </c>
      <c r="AN1489">
        <v>1550</v>
      </c>
      <c r="AO1489" t="s">
        <v>118</v>
      </c>
      <c r="AP1489">
        <v>26</v>
      </c>
      <c r="AQ1489">
        <v>143</v>
      </c>
      <c r="AR1489">
        <v>64</v>
      </c>
      <c r="AZ1489">
        <v>300</v>
      </c>
      <c r="BA1489">
        <v>1</v>
      </c>
      <c r="BB1489" t="str">
        <f t="shared" si="74"/>
        <v xml:space="preserve">N162AM  </v>
      </c>
      <c r="BC1489">
        <v>1</v>
      </c>
      <c r="BE1489">
        <v>0</v>
      </c>
      <c r="BF1489">
        <v>0</v>
      </c>
      <c r="BG1489">
        <v>0</v>
      </c>
      <c r="BH1489">
        <v>1825</v>
      </c>
      <c r="BI1489">
        <v>1</v>
      </c>
      <c r="BJ1489">
        <v>1</v>
      </c>
      <c r="BK1489">
        <v>1</v>
      </c>
      <c r="BL1489">
        <v>0</v>
      </c>
      <c r="BO1489">
        <v>0</v>
      </c>
      <c r="BP1489">
        <v>0</v>
      </c>
      <c r="BW1489" t="str">
        <f>"14:50:59.727"</f>
        <v>14:50:59.727</v>
      </c>
      <c r="CJ1489">
        <v>3</v>
      </c>
      <c r="CK1489">
        <v>2</v>
      </c>
      <c r="CL1489">
        <v>0</v>
      </c>
      <c r="CM1489">
        <v>2</v>
      </c>
      <c r="CN1489">
        <v>0</v>
      </c>
      <c r="CO1489">
        <v>5</v>
      </c>
      <c r="CP1489" t="s">
        <v>119</v>
      </c>
      <c r="CQ1489">
        <v>232</v>
      </c>
      <c r="CR1489">
        <v>2</v>
      </c>
      <c r="CW1489">
        <v>6793971</v>
      </c>
      <c r="CY1489">
        <v>1</v>
      </c>
      <c r="CZ1489">
        <v>0</v>
      </c>
      <c r="DA1489">
        <v>1</v>
      </c>
      <c r="DB1489">
        <v>0</v>
      </c>
      <c r="DC1489">
        <v>0</v>
      </c>
      <c r="DD1489">
        <v>1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>"12/16/2021 14:51:00.913"</f>
        <v>12/16/2021 14:51:00.913</v>
      </c>
      <c r="C1490" t="str">
        <f t="shared" si="73"/>
        <v>FFDFD3C0</v>
      </c>
      <c r="D1490" t="s">
        <v>124</v>
      </c>
      <c r="E1490">
        <v>10</v>
      </c>
      <c r="F1490">
        <v>1010</v>
      </c>
      <c r="G1490" t="s">
        <v>130</v>
      </c>
      <c r="J1490" t="s">
        <v>125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"14:51:00.719"</f>
        <v>14:51:00.719</v>
      </c>
      <c r="T1490" t="str">
        <f>"14:51:00.219"</f>
        <v>14:51:00.219</v>
      </c>
      <c r="U1490" t="str">
        <f t="shared" si="75"/>
        <v>A0F928</v>
      </c>
      <c r="V1490">
        <v>0</v>
      </c>
      <c r="W1490">
        <v>0</v>
      </c>
      <c r="X1490">
        <v>2</v>
      </c>
      <c r="Z1490">
        <v>0</v>
      </c>
      <c r="AA1490">
        <v>9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2</v>
      </c>
      <c r="AH1490">
        <v>1</v>
      </c>
      <c r="AI1490" t="s">
        <v>818</v>
      </c>
      <c r="AJ1490">
        <v>35.80189</v>
      </c>
      <c r="AK1490" t="s">
        <v>819</v>
      </c>
      <c r="AL1490">
        <v>-84.044359</v>
      </c>
      <c r="AM1490">
        <v>25</v>
      </c>
      <c r="AN1490">
        <v>1550</v>
      </c>
      <c r="AO1490" t="s">
        <v>118</v>
      </c>
      <c r="AP1490">
        <v>33</v>
      </c>
      <c r="AQ1490">
        <v>141</v>
      </c>
      <c r="AR1490">
        <v>-64</v>
      </c>
      <c r="AZ1490">
        <v>300</v>
      </c>
      <c r="BA1490">
        <v>1</v>
      </c>
      <c r="BB1490" t="str">
        <f t="shared" si="74"/>
        <v xml:space="preserve">N162AM  </v>
      </c>
      <c r="BC1490">
        <v>1</v>
      </c>
      <c r="BE1490">
        <v>0</v>
      </c>
      <c r="BF1490">
        <v>0</v>
      </c>
      <c r="BG1490">
        <v>0</v>
      </c>
      <c r="BH1490">
        <v>1825</v>
      </c>
      <c r="BI1490">
        <v>1</v>
      </c>
      <c r="BJ1490">
        <v>1</v>
      </c>
      <c r="BK1490">
        <v>1</v>
      </c>
      <c r="BL1490">
        <v>0</v>
      </c>
      <c r="BO1490">
        <v>0</v>
      </c>
      <c r="BP1490">
        <v>0</v>
      </c>
      <c r="BW1490" t="str">
        <f>"14:51:00.726"</f>
        <v>14:51:00.726</v>
      </c>
      <c r="CJ1490">
        <v>3</v>
      </c>
      <c r="CK1490">
        <v>2</v>
      </c>
      <c r="CL1490">
        <v>0</v>
      </c>
      <c r="CM1490">
        <v>2</v>
      </c>
      <c r="CN1490">
        <v>0</v>
      </c>
      <c r="CO1490">
        <v>6</v>
      </c>
      <c r="CP1490" t="s">
        <v>119</v>
      </c>
      <c r="CQ1490">
        <v>232</v>
      </c>
      <c r="CR1490">
        <v>2</v>
      </c>
      <c r="CW1490">
        <v>6795563</v>
      </c>
      <c r="CY1490">
        <v>1</v>
      </c>
      <c r="CZ1490">
        <v>0</v>
      </c>
      <c r="DA1490">
        <v>0</v>
      </c>
      <c r="DB1490">
        <v>0</v>
      </c>
      <c r="DC1490">
        <v>0</v>
      </c>
      <c r="DD1490">
        <v>1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>"12/16/2021 14:51:00.929"</f>
        <v>12/16/2021 14:51:00.929</v>
      </c>
      <c r="C1491" t="str">
        <f t="shared" si="73"/>
        <v>FFDFD3C0</v>
      </c>
      <c r="D1491" t="s">
        <v>133</v>
      </c>
      <c r="E1491">
        <v>44</v>
      </c>
      <c r="H1491">
        <v>131</v>
      </c>
      <c r="I1491" t="s">
        <v>134</v>
      </c>
      <c r="J1491" t="s">
        <v>135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>"14:51:00.719"</f>
        <v>14:51:00.719</v>
      </c>
      <c r="T1491" t="str">
        <f>"14:51:00.219"</f>
        <v>14:51:00.219</v>
      </c>
      <c r="U1491" t="str">
        <f t="shared" si="75"/>
        <v>A0F928</v>
      </c>
      <c r="V1491">
        <v>0</v>
      </c>
      <c r="W1491">
        <v>0</v>
      </c>
      <c r="X1491">
        <v>2</v>
      </c>
      <c r="Z1491">
        <v>0</v>
      </c>
      <c r="AA1491">
        <v>9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2</v>
      </c>
      <c r="AH1491">
        <v>1</v>
      </c>
      <c r="AI1491" t="s">
        <v>818</v>
      </c>
      <c r="AJ1491">
        <v>35.80189</v>
      </c>
      <c r="AK1491" t="s">
        <v>819</v>
      </c>
      <c r="AL1491">
        <v>-84.044359</v>
      </c>
      <c r="AM1491">
        <v>25</v>
      </c>
      <c r="AN1491">
        <v>1550</v>
      </c>
      <c r="AO1491" t="s">
        <v>118</v>
      </c>
      <c r="AP1491">
        <v>33</v>
      </c>
      <c r="AQ1491">
        <v>141</v>
      </c>
      <c r="AR1491">
        <v>-64</v>
      </c>
      <c r="AZ1491">
        <v>300</v>
      </c>
      <c r="BA1491">
        <v>1</v>
      </c>
      <c r="BB1491" t="str">
        <f t="shared" si="74"/>
        <v xml:space="preserve">N162AM  </v>
      </c>
      <c r="BC1491">
        <v>1</v>
      </c>
      <c r="BE1491">
        <v>0</v>
      </c>
      <c r="BF1491">
        <v>0</v>
      </c>
      <c r="BG1491">
        <v>0</v>
      </c>
      <c r="BH1491">
        <v>1825</v>
      </c>
      <c r="BI1491">
        <v>1</v>
      </c>
      <c r="BJ1491">
        <v>1</v>
      </c>
      <c r="BK1491">
        <v>1</v>
      </c>
      <c r="BL1491">
        <v>0</v>
      </c>
      <c r="BO1491">
        <v>0</v>
      </c>
      <c r="BP1491">
        <v>0</v>
      </c>
      <c r="BW1491" t="str">
        <f>"14:51:00.726"</f>
        <v>14:51:00.726</v>
      </c>
      <c r="CJ1491">
        <v>3</v>
      </c>
      <c r="CK1491">
        <v>2</v>
      </c>
      <c r="CL1491">
        <v>0</v>
      </c>
      <c r="CM1491">
        <v>2</v>
      </c>
      <c r="CN1491">
        <v>0</v>
      </c>
      <c r="CO1491">
        <v>6</v>
      </c>
      <c r="CP1491" t="s">
        <v>119</v>
      </c>
      <c r="CQ1491">
        <v>232</v>
      </c>
      <c r="CR1491">
        <v>2</v>
      </c>
      <c r="CW1491">
        <v>6795563</v>
      </c>
      <c r="CY1491">
        <v>1</v>
      </c>
      <c r="CZ1491">
        <v>0</v>
      </c>
      <c r="DA1491">
        <v>1</v>
      </c>
      <c r="DB1491">
        <v>0</v>
      </c>
      <c r="DC1491">
        <v>0</v>
      </c>
      <c r="DD1491">
        <v>1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>"12/16/2021 14:51:00.929"</f>
        <v>12/16/2021 14:51:00.929</v>
      </c>
      <c r="C1492" t="str">
        <f t="shared" si="73"/>
        <v>FFDFD3C0</v>
      </c>
      <c r="D1492" t="s">
        <v>124</v>
      </c>
      <c r="E1492">
        <v>5</v>
      </c>
      <c r="F1492">
        <v>1005</v>
      </c>
      <c r="G1492" t="s">
        <v>114</v>
      </c>
      <c r="J1492" t="s">
        <v>125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"14:51:00.719"</f>
        <v>14:51:00.719</v>
      </c>
      <c r="T1492" t="str">
        <f>"14:51:00.219"</f>
        <v>14:51:00.219</v>
      </c>
      <c r="U1492" t="str">
        <f t="shared" si="75"/>
        <v>A0F928</v>
      </c>
      <c r="V1492">
        <v>0</v>
      </c>
      <c r="W1492">
        <v>0</v>
      </c>
      <c r="X1492">
        <v>2</v>
      </c>
      <c r="Z1492">
        <v>0</v>
      </c>
      <c r="AA1492">
        <v>9</v>
      </c>
      <c r="AB1492">
        <v>3</v>
      </c>
      <c r="AC1492">
        <v>0</v>
      </c>
      <c r="AD1492">
        <v>10</v>
      </c>
      <c r="AE1492">
        <v>0</v>
      </c>
      <c r="AF1492">
        <v>3</v>
      </c>
      <c r="AG1492">
        <v>2</v>
      </c>
      <c r="AH1492">
        <v>1</v>
      </c>
      <c r="AI1492" t="s">
        <v>818</v>
      </c>
      <c r="AJ1492">
        <v>35.80189</v>
      </c>
      <c r="AK1492" t="s">
        <v>819</v>
      </c>
      <c r="AL1492">
        <v>-84.044359</v>
      </c>
      <c r="AM1492">
        <v>25</v>
      </c>
      <c r="AN1492">
        <v>1550</v>
      </c>
      <c r="AO1492" t="s">
        <v>118</v>
      </c>
      <c r="AP1492">
        <v>33</v>
      </c>
      <c r="AQ1492">
        <v>141</v>
      </c>
      <c r="AR1492">
        <v>-64</v>
      </c>
      <c r="AZ1492">
        <v>300</v>
      </c>
      <c r="BA1492">
        <v>1</v>
      </c>
      <c r="BB1492" t="str">
        <f t="shared" si="74"/>
        <v xml:space="preserve">N162AM  </v>
      </c>
      <c r="BC1492">
        <v>1</v>
      </c>
      <c r="BE1492">
        <v>0</v>
      </c>
      <c r="BF1492">
        <v>0</v>
      </c>
      <c r="BG1492">
        <v>0</v>
      </c>
      <c r="BH1492">
        <v>1825</v>
      </c>
      <c r="BI1492">
        <v>1</v>
      </c>
      <c r="BJ1492">
        <v>1</v>
      </c>
      <c r="BK1492">
        <v>1</v>
      </c>
      <c r="BL1492">
        <v>0</v>
      </c>
      <c r="BO1492">
        <v>0</v>
      </c>
      <c r="BP1492">
        <v>0</v>
      </c>
      <c r="BW1492" t="str">
        <f>"14:51:00.726"</f>
        <v>14:51:00.726</v>
      </c>
      <c r="CJ1492">
        <v>3</v>
      </c>
      <c r="CK1492">
        <v>2</v>
      </c>
      <c r="CL1492">
        <v>0</v>
      </c>
      <c r="CM1492">
        <v>2</v>
      </c>
      <c r="CN1492">
        <v>0</v>
      </c>
      <c r="CO1492">
        <v>6</v>
      </c>
      <c r="CP1492" t="s">
        <v>119</v>
      </c>
      <c r="CQ1492">
        <v>232</v>
      </c>
      <c r="CR1492">
        <v>2</v>
      </c>
      <c r="CW1492">
        <v>6795563</v>
      </c>
      <c r="CY1492">
        <v>1</v>
      </c>
      <c r="CZ1492">
        <v>0</v>
      </c>
      <c r="DA1492">
        <v>1</v>
      </c>
      <c r="DB1492">
        <v>0</v>
      </c>
      <c r="DC1492">
        <v>0</v>
      </c>
      <c r="DD1492">
        <v>1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>"12/16/2021 14:51:00.945"</f>
        <v>12/16/2021 14:51:00.945</v>
      </c>
      <c r="C1493" t="str">
        <f t="shared" si="73"/>
        <v>FFDFD3C0</v>
      </c>
      <c r="D1493" t="s">
        <v>113</v>
      </c>
      <c r="E1493">
        <v>8</v>
      </c>
      <c r="H1493">
        <v>176</v>
      </c>
      <c r="I1493" t="s">
        <v>114</v>
      </c>
      <c r="J1493" t="s">
        <v>115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"14:51:00.719"</f>
        <v>14:51:00.719</v>
      </c>
      <c r="T1493" t="str">
        <f>"14:51:00.219"</f>
        <v>14:51:00.219</v>
      </c>
      <c r="U1493" t="str">
        <f t="shared" si="75"/>
        <v>A0F928</v>
      </c>
      <c r="V1493">
        <v>0</v>
      </c>
      <c r="W1493">
        <v>0</v>
      </c>
      <c r="X1493">
        <v>2</v>
      </c>
      <c r="Z1493">
        <v>0</v>
      </c>
      <c r="AA1493">
        <v>9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2</v>
      </c>
      <c r="AH1493">
        <v>1</v>
      </c>
      <c r="AI1493" t="s">
        <v>818</v>
      </c>
      <c r="AJ1493">
        <v>35.80189</v>
      </c>
      <c r="AK1493" t="s">
        <v>819</v>
      </c>
      <c r="AL1493">
        <v>-84.044359</v>
      </c>
      <c r="AM1493">
        <v>25</v>
      </c>
      <c r="AN1493">
        <v>1550</v>
      </c>
      <c r="AO1493" t="s">
        <v>118</v>
      </c>
      <c r="AP1493">
        <v>33</v>
      </c>
      <c r="AQ1493">
        <v>141</v>
      </c>
      <c r="AR1493">
        <v>-64</v>
      </c>
      <c r="AZ1493">
        <v>300</v>
      </c>
      <c r="BA1493">
        <v>1</v>
      </c>
      <c r="BB1493" t="str">
        <f t="shared" si="74"/>
        <v xml:space="preserve">N162AM  </v>
      </c>
      <c r="BC1493">
        <v>1</v>
      </c>
      <c r="BE1493">
        <v>0</v>
      </c>
      <c r="BF1493">
        <v>0</v>
      </c>
      <c r="BG1493">
        <v>0</v>
      </c>
      <c r="BH1493">
        <v>1825</v>
      </c>
      <c r="BI1493">
        <v>1</v>
      </c>
      <c r="BJ1493">
        <v>1</v>
      </c>
      <c r="BK1493">
        <v>1</v>
      </c>
      <c r="BL1493">
        <v>0</v>
      </c>
      <c r="BO1493">
        <v>0</v>
      </c>
      <c r="BP1493">
        <v>0</v>
      </c>
      <c r="BW1493" t="str">
        <f>"14:51:00.726"</f>
        <v>14:51:00.726</v>
      </c>
      <c r="CJ1493">
        <v>3</v>
      </c>
      <c r="CK1493">
        <v>2</v>
      </c>
      <c r="CL1493">
        <v>0</v>
      </c>
      <c r="CM1493">
        <v>2</v>
      </c>
      <c r="CN1493">
        <v>0</v>
      </c>
      <c r="CO1493">
        <v>6</v>
      </c>
      <c r="CP1493" t="s">
        <v>119</v>
      </c>
      <c r="CQ1493">
        <v>232</v>
      </c>
      <c r="CR1493">
        <v>2</v>
      </c>
      <c r="CW1493">
        <v>6795563</v>
      </c>
      <c r="CY1493">
        <v>1</v>
      </c>
      <c r="CZ1493">
        <v>0</v>
      </c>
      <c r="DA1493">
        <v>1</v>
      </c>
      <c r="DB1493">
        <v>0</v>
      </c>
      <c r="DC1493">
        <v>0</v>
      </c>
      <c r="DD1493">
        <v>1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>"12/16/2021 14:51:01.992"</f>
        <v>12/16/2021 14:51:01.992</v>
      </c>
      <c r="C1494" t="str">
        <f t="shared" si="73"/>
        <v>FFDFD3C0</v>
      </c>
      <c r="D1494" t="s">
        <v>113</v>
      </c>
      <c r="E1494">
        <v>8</v>
      </c>
      <c r="H1494">
        <v>176</v>
      </c>
      <c r="I1494" t="s">
        <v>114</v>
      </c>
      <c r="J1494" t="s">
        <v>115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"14:51:01.742"</f>
        <v>14:51:01.742</v>
      </c>
      <c r="T1494" t="str">
        <f>"14:51:01.342"</f>
        <v>14:51:01.342</v>
      </c>
      <c r="U1494" t="str">
        <f t="shared" si="75"/>
        <v>A0F928</v>
      </c>
      <c r="V1494">
        <v>0</v>
      </c>
      <c r="W1494">
        <v>0</v>
      </c>
      <c r="X1494">
        <v>2</v>
      </c>
      <c r="Z1494">
        <v>0</v>
      </c>
      <c r="AA1494">
        <v>9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2</v>
      </c>
      <c r="AH1494">
        <v>1</v>
      </c>
      <c r="AI1494" t="s">
        <v>820</v>
      </c>
      <c r="AJ1494">
        <v>35.802491000000003</v>
      </c>
      <c r="AK1494" t="s">
        <v>821</v>
      </c>
      <c r="AL1494">
        <v>-84.044122999999999</v>
      </c>
      <c r="AM1494">
        <v>25</v>
      </c>
      <c r="AN1494">
        <v>1550</v>
      </c>
      <c r="AO1494" t="s">
        <v>118</v>
      </c>
      <c r="AP1494">
        <v>41</v>
      </c>
      <c r="AQ1494">
        <v>139</v>
      </c>
      <c r="AR1494">
        <v>-192</v>
      </c>
      <c r="AZ1494">
        <v>300</v>
      </c>
      <c r="BA1494">
        <v>1</v>
      </c>
      <c r="BB1494" t="str">
        <f t="shared" si="74"/>
        <v xml:space="preserve">N162AM  </v>
      </c>
      <c r="BC1494">
        <v>1</v>
      </c>
      <c r="BE1494">
        <v>0</v>
      </c>
      <c r="BF1494">
        <v>0</v>
      </c>
      <c r="BG1494">
        <v>0</v>
      </c>
      <c r="BH1494">
        <v>1825</v>
      </c>
      <c r="BI1494">
        <v>1</v>
      </c>
      <c r="BJ1494">
        <v>1</v>
      </c>
      <c r="BK1494">
        <v>1</v>
      </c>
      <c r="BL1494">
        <v>0</v>
      </c>
      <c r="BO1494">
        <v>0</v>
      </c>
      <c r="BP1494">
        <v>0</v>
      </c>
      <c r="BW1494" t="str">
        <f>"14:51:01.744"</f>
        <v>14:51:01.744</v>
      </c>
      <c r="CJ1494">
        <v>3</v>
      </c>
      <c r="CK1494">
        <v>2</v>
      </c>
      <c r="CL1494">
        <v>0</v>
      </c>
      <c r="CM1494">
        <v>2</v>
      </c>
      <c r="CN1494">
        <v>0</v>
      </c>
      <c r="CO1494">
        <v>6</v>
      </c>
      <c r="CP1494" t="s">
        <v>119</v>
      </c>
      <c r="CQ1494">
        <v>232</v>
      </c>
      <c r="CR1494">
        <v>1</v>
      </c>
      <c r="CW1494">
        <v>15594143</v>
      </c>
      <c r="CY1494">
        <v>1</v>
      </c>
      <c r="CZ1494">
        <v>0</v>
      </c>
      <c r="DA1494">
        <v>0</v>
      </c>
      <c r="DB1494">
        <v>0</v>
      </c>
      <c r="DC1494">
        <v>0</v>
      </c>
      <c r="DD1494">
        <v>1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>"12/16/2021 14:51:01.992"</f>
        <v>12/16/2021 14:51:01.992</v>
      </c>
      <c r="C1495" t="str">
        <f t="shared" si="73"/>
        <v>FFDFD3C0</v>
      </c>
      <c r="D1495" t="s">
        <v>133</v>
      </c>
      <c r="E1495">
        <v>44</v>
      </c>
      <c r="H1495">
        <v>131</v>
      </c>
      <c r="I1495" t="s">
        <v>134</v>
      </c>
      <c r="J1495" t="s">
        <v>135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"14:51:01.742"</f>
        <v>14:51:01.742</v>
      </c>
      <c r="T1495" t="str">
        <f>"14:51:01.342"</f>
        <v>14:51:01.342</v>
      </c>
      <c r="U1495" t="str">
        <f t="shared" si="75"/>
        <v>A0F928</v>
      </c>
      <c r="V1495">
        <v>0</v>
      </c>
      <c r="W1495">
        <v>0</v>
      </c>
      <c r="X1495">
        <v>2</v>
      </c>
      <c r="Z1495">
        <v>0</v>
      </c>
      <c r="AA1495">
        <v>9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2</v>
      </c>
      <c r="AH1495">
        <v>1</v>
      </c>
      <c r="AI1495" t="s">
        <v>820</v>
      </c>
      <c r="AJ1495">
        <v>35.802491000000003</v>
      </c>
      <c r="AK1495" t="s">
        <v>821</v>
      </c>
      <c r="AL1495">
        <v>-84.044122999999999</v>
      </c>
      <c r="AM1495">
        <v>25</v>
      </c>
      <c r="AN1495">
        <v>1550</v>
      </c>
      <c r="AO1495" t="s">
        <v>118</v>
      </c>
      <c r="AP1495">
        <v>41</v>
      </c>
      <c r="AQ1495">
        <v>139</v>
      </c>
      <c r="AR1495">
        <v>-192</v>
      </c>
      <c r="AZ1495">
        <v>300</v>
      </c>
      <c r="BA1495">
        <v>1</v>
      </c>
      <c r="BB1495" t="str">
        <f t="shared" si="74"/>
        <v xml:space="preserve">N162AM  </v>
      </c>
      <c r="BC1495">
        <v>1</v>
      </c>
      <c r="BE1495">
        <v>0</v>
      </c>
      <c r="BF1495">
        <v>0</v>
      </c>
      <c r="BG1495">
        <v>0</v>
      </c>
      <c r="BH1495">
        <v>1825</v>
      </c>
      <c r="BI1495">
        <v>1</v>
      </c>
      <c r="BJ1495">
        <v>1</v>
      </c>
      <c r="BK1495">
        <v>1</v>
      </c>
      <c r="BL1495">
        <v>0</v>
      </c>
      <c r="BO1495">
        <v>0</v>
      </c>
      <c r="BP1495">
        <v>0</v>
      </c>
      <c r="BW1495" t="str">
        <f>"14:51:01.744"</f>
        <v>14:51:01.744</v>
      </c>
      <c r="CJ1495">
        <v>3</v>
      </c>
      <c r="CK1495">
        <v>2</v>
      </c>
      <c r="CL1495">
        <v>0</v>
      </c>
      <c r="CM1495">
        <v>2</v>
      </c>
      <c r="CN1495">
        <v>0</v>
      </c>
      <c r="CO1495">
        <v>6</v>
      </c>
      <c r="CP1495" t="s">
        <v>119</v>
      </c>
      <c r="CQ1495">
        <v>232</v>
      </c>
      <c r="CR1495">
        <v>1</v>
      </c>
      <c r="CW1495">
        <v>15594143</v>
      </c>
      <c r="CY1495">
        <v>1</v>
      </c>
      <c r="CZ1495">
        <v>0</v>
      </c>
      <c r="DA1495">
        <v>1</v>
      </c>
      <c r="DB1495">
        <v>0</v>
      </c>
      <c r="DC1495">
        <v>0</v>
      </c>
      <c r="DD1495">
        <v>1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"12/16/2021 14:51:01.992"</f>
        <v>12/16/2021 14:51:01.992</v>
      </c>
      <c r="C1496" t="str">
        <f t="shared" si="73"/>
        <v>FFDFD3C0</v>
      </c>
      <c r="D1496" t="s">
        <v>124</v>
      </c>
      <c r="E1496">
        <v>10</v>
      </c>
      <c r="F1496">
        <v>1010</v>
      </c>
      <c r="G1496" t="s">
        <v>130</v>
      </c>
      <c r="J1496" t="s">
        <v>125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"14:51:01.742"</f>
        <v>14:51:01.742</v>
      </c>
      <c r="T1496" t="str">
        <f>"14:51:01.342"</f>
        <v>14:51:01.342</v>
      </c>
      <c r="U1496" t="str">
        <f t="shared" si="75"/>
        <v>A0F928</v>
      </c>
      <c r="V1496">
        <v>0</v>
      </c>
      <c r="W1496">
        <v>0</v>
      </c>
      <c r="X1496">
        <v>2</v>
      </c>
      <c r="Z1496">
        <v>0</v>
      </c>
      <c r="AA1496">
        <v>9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2</v>
      </c>
      <c r="AH1496">
        <v>1</v>
      </c>
      <c r="AI1496" t="s">
        <v>820</v>
      </c>
      <c r="AJ1496">
        <v>35.802491000000003</v>
      </c>
      <c r="AK1496" t="s">
        <v>821</v>
      </c>
      <c r="AL1496">
        <v>-84.044122999999999</v>
      </c>
      <c r="AM1496">
        <v>25</v>
      </c>
      <c r="AN1496">
        <v>1550</v>
      </c>
      <c r="AO1496" t="s">
        <v>118</v>
      </c>
      <c r="AP1496">
        <v>41</v>
      </c>
      <c r="AQ1496">
        <v>139</v>
      </c>
      <c r="AR1496">
        <v>-192</v>
      </c>
      <c r="AZ1496">
        <v>300</v>
      </c>
      <c r="BA1496">
        <v>1</v>
      </c>
      <c r="BB1496" t="str">
        <f t="shared" si="74"/>
        <v xml:space="preserve">N162AM  </v>
      </c>
      <c r="BC1496">
        <v>1</v>
      </c>
      <c r="BE1496">
        <v>0</v>
      </c>
      <c r="BF1496">
        <v>0</v>
      </c>
      <c r="BG1496">
        <v>0</v>
      </c>
      <c r="BH1496">
        <v>1825</v>
      </c>
      <c r="BI1496">
        <v>1</v>
      </c>
      <c r="BJ1496">
        <v>1</v>
      </c>
      <c r="BK1496">
        <v>1</v>
      </c>
      <c r="BL1496">
        <v>0</v>
      </c>
      <c r="BO1496">
        <v>0</v>
      </c>
      <c r="BP1496">
        <v>0</v>
      </c>
      <c r="BW1496" t="str">
        <f>"14:51:01.744"</f>
        <v>14:51:01.744</v>
      </c>
      <c r="CJ1496">
        <v>3</v>
      </c>
      <c r="CK1496">
        <v>2</v>
      </c>
      <c r="CL1496">
        <v>0</v>
      </c>
      <c r="CM1496">
        <v>2</v>
      </c>
      <c r="CN1496">
        <v>0</v>
      </c>
      <c r="CO1496">
        <v>6</v>
      </c>
      <c r="CP1496" t="s">
        <v>119</v>
      </c>
      <c r="CQ1496">
        <v>232</v>
      </c>
      <c r="CR1496">
        <v>1</v>
      </c>
      <c r="CW1496">
        <v>15594143</v>
      </c>
      <c r="CY1496">
        <v>1</v>
      </c>
      <c r="CZ1496">
        <v>0</v>
      </c>
      <c r="DA1496">
        <v>1</v>
      </c>
      <c r="DB1496">
        <v>0</v>
      </c>
      <c r="DC1496">
        <v>0</v>
      </c>
      <c r="DD1496">
        <v>1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>"12/16/2021 14:51:01.992"</f>
        <v>12/16/2021 14:51:01.992</v>
      </c>
      <c r="C1497" t="str">
        <f t="shared" si="73"/>
        <v>FFDFD3C0</v>
      </c>
      <c r="D1497" t="s">
        <v>124</v>
      </c>
      <c r="E1497">
        <v>5</v>
      </c>
      <c r="F1497">
        <v>1005</v>
      </c>
      <c r="G1497" t="s">
        <v>114</v>
      </c>
      <c r="J1497" t="s">
        <v>125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"14:51:01.742"</f>
        <v>14:51:01.742</v>
      </c>
      <c r="T1497" t="str">
        <f>"14:51:01.342"</f>
        <v>14:51:01.342</v>
      </c>
      <c r="U1497" t="str">
        <f t="shared" si="75"/>
        <v>A0F928</v>
      </c>
      <c r="V1497">
        <v>0</v>
      </c>
      <c r="W1497">
        <v>0</v>
      </c>
      <c r="X1497">
        <v>2</v>
      </c>
      <c r="Z1497">
        <v>0</v>
      </c>
      <c r="AA1497">
        <v>9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2</v>
      </c>
      <c r="AH1497">
        <v>1</v>
      </c>
      <c r="AI1497" t="s">
        <v>820</v>
      </c>
      <c r="AJ1497">
        <v>35.802491000000003</v>
      </c>
      <c r="AK1497" t="s">
        <v>821</v>
      </c>
      <c r="AL1497">
        <v>-84.044122999999999</v>
      </c>
      <c r="AM1497">
        <v>25</v>
      </c>
      <c r="AN1497">
        <v>1550</v>
      </c>
      <c r="AO1497" t="s">
        <v>118</v>
      </c>
      <c r="AP1497">
        <v>41</v>
      </c>
      <c r="AQ1497">
        <v>139</v>
      </c>
      <c r="AR1497">
        <v>-192</v>
      </c>
      <c r="AZ1497">
        <v>300</v>
      </c>
      <c r="BA1497">
        <v>1</v>
      </c>
      <c r="BB1497" t="str">
        <f t="shared" si="74"/>
        <v xml:space="preserve">N162AM  </v>
      </c>
      <c r="BC1497">
        <v>1</v>
      </c>
      <c r="BE1497">
        <v>0</v>
      </c>
      <c r="BF1497">
        <v>0</v>
      </c>
      <c r="BG1497">
        <v>0</v>
      </c>
      <c r="BH1497">
        <v>1825</v>
      </c>
      <c r="BI1497">
        <v>1</v>
      </c>
      <c r="BJ1497">
        <v>1</v>
      </c>
      <c r="BK1497">
        <v>1</v>
      </c>
      <c r="BL1497">
        <v>0</v>
      </c>
      <c r="BO1497">
        <v>0</v>
      </c>
      <c r="BP1497">
        <v>0</v>
      </c>
      <c r="BW1497" t="str">
        <f>"14:51:01.744"</f>
        <v>14:51:01.744</v>
      </c>
      <c r="CJ1497">
        <v>3</v>
      </c>
      <c r="CK1497">
        <v>2</v>
      </c>
      <c r="CL1497">
        <v>0</v>
      </c>
      <c r="CM1497">
        <v>2</v>
      </c>
      <c r="CN1497">
        <v>0</v>
      </c>
      <c r="CO1497">
        <v>6</v>
      </c>
      <c r="CP1497" t="s">
        <v>119</v>
      </c>
      <c r="CQ1497">
        <v>232</v>
      </c>
      <c r="CR1497">
        <v>1</v>
      </c>
      <c r="CW1497">
        <v>15594143</v>
      </c>
      <c r="CY1497">
        <v>1</v>
      </c>
      <c r="CZ1497">
        <v>0</v>
      </c>
      <c r="DA1497">
        <v>1</v>
      </c>
      <c r="DB1497">
        <v>0</v>
      </c>
      <c r="DC1497">
        <v>0</v>
      </c>
      <c r="DD1497">
        <v>1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>"12/16/2021 14:51:02.945"</f>
        <v>12/16/2021 14:51:02.945</v>
      </c>
      <c r="C1498" t="str">
        <f t="shared" si="73"/>
        <v>FFDFD3C0</v>
      </c>
      <c r="D1498" t="s">
        <v>124</v>
      </c>
      <c r="E1498">
        <v>10</v>
      </c>
      <c r="F1498">
        <v>1010</v>
      </c>
      <c r="G1498" t="s">
        <v>130</v>
      </c>
      <c r="J1498" t="s">
        <v>125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"14:51:02.750"</f>
        <v>14:51:02.750</v>
      </c>
      <c r="T1498" t="str">
        <f>"14:51:02.250"</f>
        <v>14:51:02.250</v>
      </c>
      <c r="U1498" t="str">
        <f t="shared" si="75"/>
        <v>A0F928</v>
      </c>
      <c r="V1498">
        <v>0</v>
      </c>
      <c r="W1498">
        <v>0</v>
      </c>
      <c r="X1498">
        <v>2</v>
      </c>
      <c r="Z1498">
        <v>0</v>
      </c>
      <c r="AA1498">
        <v>9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2</v>
      </c>
      <c r="AH1498">
        <v>1</v>
      </c>
      <c r="AI1498" t="s">
        <v>822</v>
      </c>
      <c r="AJ1498">
        <v>35.803198999999999</v>
      </c>
      <c r="AK1498" t="s">
        <v>823</v>
      </c>
      <c r="AL1498">
        <v>-84.043801000000002</v>
      </c>
      <c r="AM1498">
        <v>25</v>
      </c>
      <c r="AN1498">
        <v>1550</v>
      </c>
      <c r="AO1498" t="s">
        <v>118</v>
      </c>
      <c r="AP1498">
        <v>46</v>
      </c>
      <c r="AQ1498">
        <v>137</v>
      </c>
      <c r="AR1498">
        <v>-256</v>
      </c>
      <c r="AZ1498">
        <v>300</v>
      </c>
      <c r="BA1498">
        <v>1</v>
      </c>
      <c r="BB1498" t="str">
        <f t="shared" si="74"/>
        <v xml:space="preserve">N162AM  </v>
      </c>
      <c r="BC1498">
        <v>1</v>
      </c>
      <c r="BE1498">
        <v>0</v>
      </c>
      <c r="BF1498">
        <v>0</v>
      </c>
      <c r="BG1498">
        <v>0</v>
      </c>
      <c r="BH1498">
        <v>1800</v>
      </c>
      <c r="BI1498">
        <v>1</v>
      </c>
      <c r="BJ1498">
        <v>1</v>
      </c>
      <c r="BK1498">
        <v>1</v>
      </c>
      <c r="BL1498">
        <v>0</v>
      </c>
      <c r="BO1498">
        <v>0</v>
      </c>
      <c r="BP1498">
        <v>0</v>
      </c>
      <c r="BW1498" t="str">
        <f>"14:51:02.756"</f>
        <v>14:51:02.756</v>
      </c>
      <c r="CJ1498">
        <v>3</v>
      </c>
      <c r="CK1498">
        <v>2</v>
      </c>
      <c r="CL1498">
        <v>0</v>
      </c>
      <c r="CM1498">
        <v>2</v>
      </c>
      <c r="CN1498">
        <v>0</v>
      </c>
      <c r="CO1498">
        <v>6</v>
      </c>
      <c r="CP1498" t="s">
        <v>119</v>
      </c>
      <c r="CQ1498">
        <v>232</v>
      </c>
      <c r="CR1498">
        <v>2</v>
      </c>
      <c r="CW1498">
        <v>6798825</v>
      </c>
      <c r="CY1498">
        <v>1</v>
      </c>
      <c r="CZ1498">
        <v>0</v>
      </c>
      <c r="DA1498">
        <v>0</v>
      </c>
      <c r="DB1498">
        <v>0</v>
      </c>
      <c r="DC1498">
        <v>0</v>
      </c>
      <c r="DD1498">
        <v>1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>"12/16/2021 14:51:02.945"</f>
        <v>12/16/2021 14:51:02.945</v>
      </c>
      <c r="C1499" t="str">
        <f t="shared" si="73"/>
        <v>FFDFD3C0</v>
      </c>
      <c r="D1499" t="s">
        <v>133</v>
      </c>
      <c r="E1499">
        <v>44</v>
      </c>
      <c r="H1499">
        <v>131</v>
      </c>
      <c r="I1499" t="s">
        <v>134</v>
      </c>
      <c r="J1499" t="s">
        <v>135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"14:51:02.750"</f>
        <v>14:51:02.750</v>
      </c>
      <c r="T1499" t="str">
        <f>"14:51:02.250"</f>
        <v>14:51:02.250</v>
      </c>
      <c r="U1499" t="str">
        <f t="shared" si="75"/>
        <v>A0F928</v>
      </c>
      <c r="V1499">
        <v>0</v>
      </c>
      <c r="W1499">
        <v>0</v>
      </c>
      <c r="X1499">
        <v>2</v>
      </c>
      <c r="Z1499">
        <v>0</v>
      </c>
      <c r="AA1499">
        <v>9</v>
      </c>
      <c r="AB1499">
        <v>3</v>
      </c>
      <c r="AC1499">
        <v>0</v>
      </c>
      <c r="AD1499">
        <v>10</v>
      </c>
      <c r="AE1499">
        <v>0</v>
      </c>
      <c r="AF1499">
        <v>3</v>
      </c>
      <c r="AG1499">
        <v>2</v>
      </c>
      <c r="AH1499">
        <v>1</v>
      </c>
      <c r="AI1499" t="s">
        <v>822</v>
      </c>
      <c r="AJ1499">
        <v>35.803198999999999</v>
      </c>
      <c r="AK1499" t="s">
        <v>823</v>
      </c>
      <c r="AL1499">
        <v>-84.043801000000002</v>
      </c>
      <c r="AM1499">
        <v>25</v>
      </c>
      <c r="AN1499">
        <v>1550</v>
      </c>
      <c r="AO1499" t="s">
        <v>118</v>
      </c>
      <c r="AP1499">
        <v>46</v>
      </c>
      <c r="AQ1499">
        <v>137</v>
      </c>
      <c r="AR1499">
        <v>-256</v>
      </c>
      <c r="AZ1499">
        <v>300</v>
      </c>
      <c r="BA1499">
        <v>1</v>
      </c>
      <c r="BB1499" t="str">
        <f t="shared" si="74"/>
        <v xml:space="preserve">N162AM  </v>
      </c>
      <c r="BC1499">
        <v>1</v>
      </c>
      <c r="BE1499">
        <v>0</v>
      </c>
      <c r="BF1499">
        <v>0</v>
      </c>
      <c r="BG1499">
        <v>0</v>
      </c>
      <c r="BH1499">
        <v>1800</v>
      </c>
      <c r="BI1499">
        <v>1</v>
      </c>
      <c r="BJ1499">
        <v>1</v>
      </c>
      <c r="BK1499">
        <v>1</v>
      </c>
      <c r="BL1499">
        <v>0</v>
      </c>
      <c r="BO1499">
        <v>0</v>
      </c>
      <c r="BP1499">
        <v>0</v>
      </c>
      <c r="BW1499" t="str">
        <f>"14:51:02.756"</f>
        <v>14:51:02.756</v>
      </c>
      <c r="CJ1499">
        <v>3</v>
      </c>
      <c r="CK1499">
        <v>2</v>
      </c>
      <c r="CL1499">
        <v>0</v>
      </c>
      <c r="CM1499">
        <v>2</v>
      </c>
      <c r="CN1499">
        <v>0</v>
      </c>
      <c r="CO1499">
        <v>6</v>
      </c>
      <c r="CP1499" t="s">
        <v>119</v>
      </c>
      <c r="CQ1499">
        <v>232</v>
      </c>
      <c r="CR1499">
        <v>2</v>
      </c>
      <c r="CW1499">
        <v>6798825</v>
      </c>
      <c r="CY1499">
        <v>1</v>
      </c>
      <c r="CZ1499">
        <v>0</v>
      </c>
      <c r="DA1499">
        <v>1</v>
      </c>
      <c r="DB1499">
        <v>0</v>
      </c>
      <c r="DC1499">
        <v>0</v>
      </c>
      <c r="DD1499">
        <v>1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>"12/16/2021 14:51:02.945"</f>
        <v>12/16/2021 14:51:02.945</v>
      </c>
      <c r="C1500" t="str">
        <f t="shared" si="73"/>
        <v>FFDFD3C0</v>
      </c>
      <c r="D1500" t="s">
        <v>124</v>
      </c>
      <c r="E1500">
        <v>5</v>
      </c>
      <c r="F1500">
        <v>1005</v>
      </c>
      <c r="G1500" t="s">
        <v>114</v>
      </c>
      <c r="J1500" t="s">
        <v>125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"14:51:02.750"</f>
        <v>14:51:02.750</v>
      </c>
      <c r="T1500" t="str">
        <f>"14:51:02.250"</f>
        <v>14:51:02.250</v>
      </c>
      <c r="U1500" t="str">
        <f t="shared" si="75"/>
        <v>A0F928</v>
      </c>
      <c r="V1500">
        <v>0</v>
      </c>
      <c r="W1500">
        <v>0</v>
      </c>
      <c r="X1500">
        <v>2</v>
      </c>
      <c r="Z1500">
        <v>0</v>
      </c>
      <c r="AA1500">
        <v>9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2</v>
      </c>
      <c r="AH1500">
        <v>1</v>
      </c>
      <c r="AI1500" t="s">
        <v>822</v>
      </c>
      <c r="AJ1500">
        <v>35.803198999999999</v>
      </c>
      <c r="AK1500" t="s">
        <v>823</v>
      </c>
      <c r="AL1500">
        <v>-84.043801000000002</v>
      </c>
      <c r="AM1500">
        <v>25</v>
      </c>
      <c r="AN1500">
        <v>1550</v>
      </c>
      <c r="AO1500" t="s">
        <v>118</v>
      </c>
      <c r="AP1500">
        <v>46</v>
      </c>
      <c r="AQ1500">
        <v>137</v>
      </c>
      <c r="AR1500">
        <v>-256</v>
      </c>
      <c r="AZ1500">
        <v>300</v>
      </c>
      <c r="BA1500">
        <v>1</v>
      </c>
      <c r="BB1500" t="str">
        <f t="shared" si="74"/>
        <v xml:space="preserve">N162AM  </v>
      </c>
      <c r="BC1500">
        <v>1</v>
      </c>
      <c r="BE1500">
        <v>0</v>
      </c>
      <c r="BF1500">
        <v>0</v>
      </c>
      <c r="BG1500">
        <v>0</v>
      </c>
      <c r="BH1500">
        <v>1800</v>
      </c>
      <c r="BI1500">
        <v>1</v>
      </c>
      <c r="BJ1500">
        <v>1</v>
      </c>
      <c r="BK1500">
        <v>1</v>
      </c>
      <c r="BL1500">
        <v>0</v>
      </c>
      <c r="BO1500">
        <v>0</v>
      </c>
      <c r="BP1500">
        <v>0</v>
      </c>
      <c r="BW1500" t="str">
        <f>"14:51:02.756"</f>
        <v>14:51:02.756</v>
      </c>
      <c r="CJ1500">
        <v>3</v>
      </c>
      <c r="CK1500">
        <v>2</v>
      </c>
      <c r="CL1500">
        <v>0</v>
      </c>
      <c r="CM1500">
        <v>2</v>
      </c>
      <c r="CN1500">
        <v>0</v>
      </c>
      <c r="CO1500">
        <v>6</v>
      </c>
      <c r="CP1500" t="s">
        <v>119</v>
      </c>
      <c r="CQ1500">
        <v>232</v>
      </c>
      <c r="CR1500">
        <v>2</v>
      </c>
      <c r="CW1500">
        <v>6798825</v>
      </c>
      <c r="CY1500">
        <v>1</v>
      </c>
      <c r="CZ1500">
        <v>0</v>
      </c>
      <c r="DA1500">
        <v>1</v>
      </c>
      <c r="DB1500">
        <v>0</v>
      </c>
      <c r="DC1500">
        <v>0</v>
      </c>
      <c r="DD1500">
        <v>1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>"12/16/2021 14:51:02.992"</f>
        <v>12/16/2021 14:51:02.992</v>
      </c>
      <c r="C1501" t="str">
        <f t="shared" si="73"/>
        <v>FFDFD3C0</v>
      </c>
      <c r="D1501" t="s">
        <v>113</v>
      </c>
      <c r="E1501">
        <v>8</v>
      </c>
      <c r="H1501">
        <v>176</v>
      </c>
      <c r="I1501" t="s">
        <v>114</v>
      </c>
      <c r="J1501" t="s">
        <v>115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"14:51:02.750"</f>
        <v>14:51:02.750</v>
      </c>
      <c r="T1501" t="str">
        <f>"14:51:02.250"</f>
        <v>14:51:02.250</v>
      </c>
      <c r="U1501" t="str">
        <f t="shared" si="75"/>
        <v>A0F928</v>
      </c>
      <c r="V1501">
        <v>0</v>
      </c>
      <c r="W1501">
        <v>0</v>
      </c>
      <c r="X1501">
        <v>2</v>
      </c>
      <c r="Z1501">
        <v>0</v>
      </c>
      <c r="AA1501">
        <v>9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2</v>
      </c>
      <c r="AH1501">
        <v>1</v>
      </c>
      <c r="AI1501" t="s">
        <v>822</v>
      </c>
      <c r="AJ1501">
        <v>35.803198999999999</v>
      </c>
      <c r="AK1501" t="s">
        <v>823</v>
      </c>
      <c r="AL1501">
        <v>-84.043801000000002</v>
      </c>
      <c r="AM1501">
        <v>25</v>
      </c>
      <c r="AN1501">
        <v>1550</v>
      </c>
      <c r="AO1501" t="s">
        <v>118</v>
      </c>
      <c r="AP1501">
        <v>46</v>
      </c>
      <c r="AQ1501">
        <v>137</v>
      </c>
      <c r="AR1501">
        <v>-256</v>
      </c>
      <c r="AZ1501">
        <v>300</v>
      </c>
      <c r="BA1501">
        <v>1</v>
      </c>
      <c r="BB1501" t="str">
        <f t="shared" si="74"/>
        <v xml:space="preserve">N162AM  </v>
      </c>
      <c r="BC1501">
        <v>1</v>
      </c>
      <c r="BE1501">
        <v>0</v>
      </c>
      <c r="BF1501">
        <v>0</v>
      </c>
      <c r="BG1501">
        <v>0</v>
      </c>
      <c r="BH1501">
        <v>1800</v>
      </c>
      <c r="BI1501">
        <v>1</v>
      </c>
      <c r="BJ1501">
        <v>1</v>
      </c>
      <c r="BK1501">
        <v>1</v>
      </c>
      <c r="BL1501">
        <v>0</v>
      </c>
      <c r="BO1501">
        <v>0</v>
      </c>
      <c r="BP1501">
        <v>0</v>
      </c>
      <c r="BW1501" t="str">
        <f>"14:51:02.756"</f>
        <v>14:51:02.756</v>
      </c>
      <c r="CJ1501">
        <v>3</v>
      </c>
      <c r="CK1501">
        <v>2</v>
      </c>
      <c r="CL1501">
        <v>0</v>
      </c>
      <c r="CM1501">
        <v>2</v>
      </c>
      <c r="CN1501">
        <v>0</v>
      </c>
      <c r="CO1501">
        <v>6</v>
      </c>
      <c r="CP1501" t="s">
        <v>119</v>
      </c>
      <c r="CQ1501">
        <v>232</v>
      </c>
      <c r="CR1501">
        <v>2</v>
      </c>
      <c r="CW1501">
        <v>6798825</v>
      </c>
      <c r="CY1501">
        <v>1</v>
      </c>
      <c r="CZ1501">
        <v>0</v>
      </c>
      <c r="DA1501">
        <v>1</v>
      </c>
      <c r="DB1501">
        <v>0</v>
      </c>
      <c r="DC1501">
        <v>0</v>
      </c>
      <c r="DD1501">
        <v>1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>"12/16/2021 14:51:03.976"</f>
        <v>12/16/2021 14:51:03.976</v>
      </c>
      <c r="C1502" t="str">
        <f t="shared" si="73"/>
        <v>FFDFD3C0</v>
      </c>
      <c r="D1502" t="s">
        <v>113</v>
      </c>
      <c r="E1502">
        <v>8</v>
      </c>
      <c r="H1502">
        <v>176</v>
      </c>
      <c r="I1502" t="s">
        <v>114</v>
      </c>
      <c r="J1502" t="s">
        <v>115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"14:51:03.805"</f>
        <v>14:51:03.805</v>
      </c>
      <c r="T1502" t="str">
        <f>"14:51:03.305"</f>
        <v>14:51:03.305</v>
      </c>
      <c r="U1502" t="str">
        <f t="shared" si="75"/>
        <v>A0F928</v>
      </c>
      <c r="V1502">
        <v>0</v>
      </c>
      <c r="W1502">
        <v>0</v>
      </c>
      <c r="X1502">
        <v>2</v>
      </c>
      <c r="Z1502">
        <v>0</v>
      </c>
      <c r="AA1502">
        <v>9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2</v>
      </c>
      <c r="AH1502">
        <v>1</v>
      </c>
      <c r="AI1502" t="s">
        <v>824</v>
      </c>
      <c r="AJ1502">
        <v>35.803800000000003</v>
      </c>
      <c r="AK1502" t="s">
        <v>825</v>
      </c>
      <c r="AL1502">
        <v>-84.043521999999996</v>
      </c>
      <c r="AM1502">
        <v>25</v>
      </c>
      <c r="AN1502">
        <v>1525</v>
      </c>
      <c r="AO1502" t="s">
        <v>118</v>
      </c>
      <c r="AP1502">
        <v>54</v>
      </c>
      <c r="AQ1502">
        <v>134</v>
      </c>
      <c r="AR1502">
        <v>-320</v>
      </c>
      <c r="AZ1502">
        <v>300</v>
      </c>
      <c r="BA1502">
        <v>1</v>
      </c>
      <c r="BB1502" t="str">
        <f t="shared" si="74"/>
        <v xml:space="preserve">N162AM  </v>
      </c>
      <c r="BC1502">
        <v>1</v>
      </c>
      <c r="BE1502">
        <v>0</v>
      </c>
      <c r="BF1502">
        <v>0</v>
      </c>
      <c r="BG1502">
        <v>0</v>
      </c>
      <c r="BH1502">
        <v>1825</v>
      </c>
      <c r="BI1502">
        <v>1</v>
      </c>
      <c r="BJ1502">
        <v>1</v>
      </c>
      <c r="BK1502">
        <v>1</v>
      </c>
      <c r="BL1502">
        <v>0</v>
      </c>
      <c r="BO1502">
        <v>0</v>
      </c>
      <c r="BP1502">
        <v>0</v>
      </c>
      <c r="BW1502" t="str">
        <f>"14:51:03.805"</f>
        <v>14:51:03.805</v>
      </c>
      <c r="CJ1502">
        <v>3</v>
      </c>
      <c r="CK1502">
        <v>2</v>
      </c>
      <c r="CL1502">
        <v>0</v>
      </c>
      <c r="CM1502">
        <v>2</v>
      </c>
      <c r="CN1502">
        <v>0</v>
      </c>
      <c r="CO1502">
        <v>6</v>
      </c>
      <c r="CP1502" t="s">
        <v>119</v>
      </c>
      <c r="CQ1502">
        <v>232</v>
      </c>
      <c r="CR1502">
        <v>2</v>
      </c>
      <c r="CW1502">
        <v>6800372</v>
      </c>
      <c r="CY1502">
        <v>1</v>
      </c>
      <c r="CZ1502">
        <v>0</v>
      </c>
      <c r="DA1502">
        <v>0</v>
      </c>
      <c r="DB1502">
        <v>0</v>
      </c>
      <c r="DC1502">
        <v>0</v>
      </c>
      <c r="DD1502">
        <v>1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>"12/16/2021 14:51:03.976"</f>
        <v>12/16/2021 14:51:03.976</v>
      </c>
      <c r="C1503" t="str">
        <f t="shared" si="73"/>
        <v>FFDFD3C0</v>
      </c>
      <c r="D1503" t="s">
        <v>124</v>
      </c>
      <c r="E1503">
        <v>10</v>
      </c>
      <c r="F1503">
        <v>1010</v>
      </c>
      <c r="G1503" t="s">
        <v>130</v>
      </c>
      <c r="J1503" t="s">
        <v>125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"14:51:03.805"</f>
        <v>14:51:03.805</v>
      </c>
      <c r="T1503" t="str">
        <f>"14:51:03.305"</f>
        <v>14:51:03.305</v>
      </c>
      <c r="U1503" t="str">
        <f t="shared" si="75"/>
        <v>A0F928</v>
      </c>
      <c r="V1503">
        <v>0</v>
      </c>
      <c r="W1503">
        <v>0</v>
      </c>
      <c r="X1503">
        <v>2</v>
      </c>
      <c r="Z1503">
        <v>0</v>
      </c>
      <c r="AA1503">
        <v>9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2</v>
      </c>
      <c r="AH1503">
        <v>1</v>
      </c>
      <c r="AI1503" t="s">
        <v>824</v>
      </c>
      <c r="AJ1503">
        <v>35.803800000000003</v>
      </c>
      <c r="AK1503" t="s">
        <v>825</v>
      </c>
      <c r="AL1503">
        <v>-84.043521999999996</v>
      </c>
      <c r="AM1503">
        <v>25</v>
      </c>
      <c r="AN1503">
        <v>1525</v>
      </c>
      <c r="AO1503" t="s">
        <v>118</v>
      </c>
      <c r="AP1503">
        <v>54</v>
      </c>
      <c r="AQ1503">
        <v>134</v>
      </c>
      <c r="AR1503">
        <v>-320</v>
      </c>
      <c r="AZ1503">
        <v>300</v>
      </c>
      <c r="BA1503">
        <v>1</v>
      </c>
      <c r="BB1503" t="str">
        <f t="shared" si="74"/>
        <v xml:space="preserve">N162AM  </v>
      </c>
      <c r="BC1503">
        <v>1</v>
      </c>
      <c r="BE1503">
        <v>0</v>
      </c>
      <c r="BF1503">
        <v>0</v>
      </c>
      <c r="BG1503">
        <v>0</v>
      </c>
      <c r="BH1503">
        <v>1825</v>
      </c>
      <c r="BI1503">
        <v>1</v>
      </c>
      <c r="BJ1503">
        <v>1</v>
      </c>
      <c r="BK1503">
        <v>1</v>
      </c>
      <c r="BL1503">
        <v>0</v>
      </c>
      <c r="BO1503">
        <v>0</v>
      </c>
      <c r="BP1503">
        <v>0</v>
      </c>
      <c r="BW1503" t="str">
        <f>"14:51:03.805"</f>
        <v>14:51:03.805</v>
      </c>
      <c r="CJ1503">
        <v>3</v>
      </c>
      <c r="CK1503">
        <v>2</v>
      </c>
      <c r="CL1503">
        <v>0</v>
      </c>
      <c r="CM1503">
        <v>2</v>
      </c>
      <c r="CN1503">
        <v>0</v>
      </c>
      <c r="CO1503">
        <v>6</v>
      </c>
      <c r="CP1503" t="s">
        <v>119</v>
      </c>
      <c r="CQ1503">
        <v>232</v>
      </c>
      <c r="CR1503">
        <v>2</v>
      </c>
      <c r="CW1503">
        <v>6800372</v>
      </c>
      <c r="CY1503">
        <v>1</v>
      </c>
      <c r="CZ1503">
        <v>0</v>
      </c>
      <c r="DA1503">
        <v>1</v>
      </c>
      <c r="DB1503">
        <v>0</v>
      </c>
      <c r="DC1503">
        <v>0</v>
      </c>
      <c r="DD1503">
        <v>1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>"12/16/2021 14:51:04.007"</f>
        <v>12/16/2021 14:51:04.007</v>
      </c>
      <c r="C1504" t="str">
        <f t="shared" si="73"/>
        <v>FFDFD3C0</v>
      </c>
      <c r="D1504" t="s">
        <v>133</v>
      </c>
      <c r="E1504">
        <v>44</v>
      </c>
      <c r="H1504">
        <v>131</v>
      </c>
      <c r="I1504" t="s">
        <v>134</v>
      </c>
      <c r="J1504" t="s">
        <v>135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"14:51:03.805"</f>
        <v>14:51:03.805</v>
      </c>
      <c r="T1504" t="str">
        <f>"14:51:03.305"</f>
        <v>14:51:03.305</v>
      </c>
      <c r="U1504" t="str">
        <f t="shared" si="75"/>
        <v>A0F928</v>
      </c>
      <c r="V1504">
        <v>0</v>
      </c>
      <c r="W1504">
        <v>0</v>
      </c>
      <c r="X1504">
        <v>2</v>
      </c>
      <c r="Z1504">
        <v>0</v>
      </c>
      <c r="AA1504">
        <v>9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2</v>
      </c>
      <c r="AH1504">
        <v>1</v>
      </c>
      <c r="AI1504" t="s">
        <v>824</v>
      </c>
      <c r="AJ1504">
        <v>35.803800000000003</v>
      </c>
      <c r="AK1504" t="s">
        <v>825</v>
      </c>
      <c r="AL1504">
        <v>-84.043521999999996</v>
      </c>
      <c r="AM1504">
        <v>25</v>
      </c>
      <c r="AN1504">
        <v>1525</v>
      </c>
      <c r="AO1504" t="s">
        <v>118</v>
      </c>
      <c r="AP1504">
        <v>54</v>
      </c>
      <c r="AQ1504">
        <v>134</v>
      </c>
      <c r="AR1504">
        <v>-320</v>
      </c>
      <c r="AZ1504">
        <v>300</v>
      </c>
      <c r="BA1504">
        <v>1</v>
      </c>
      <c r="BB1504" t="str">
        <f t="shared" si="74"/>
        <v xml:space="preserve">N162AM  </v>
      </c>
      <c r="BC1504">
        <v>1</v>
      </c>
      <c r="BE1504">
        <v>0</v>
      </c>
      <c r="BF1504">
        <v>0</v>
      </c>
      <c r="BG1504">
        <v>0</v>
      </c>
      <c r="BH1504">
        <v>1825</v>
      </c>
      <c r="BI1504">
        <v>1</v>
      </c>
      <c r="BJ1504">
        <v>1</v>
      </c>
      <c r="BK1504">
        <v>1</v>
      </c>
      <c r="BL1504">
        <v>0</v>
      </c>
      <c r="BO1504">
        <v>0</v>
      </c>
      <c r="BP1504">
        <v>0</v>
      </c>
      <c r="BW1504" t="str">
        <f>"14:51:03.805"</f>
        <v>14:51:03.805</v>
      </c>
      <c r="CJ1504">
        <v>3</v>
      </c>
      <c r="CK1504">
        <v>2</v>
      </c>
      <c r="CL1504">
        <v>0</v>
      </c>
      <c r="CM1504">
        <v>2</v>
      </c>
      <c r="CN1504">
        <v>0</v>
      </c>
      <c r="CO1504">
        <v>6</v>
      </c>
      <c r="CP1504" t="s">
        <v>119</v>
      </c>
      <c r="CQ1504">
        <v>232</v>
      </c>
      <c r="CR1504">
        <v>2</v>
      </c>
      <c r="CW1504">
        <v>6800372</v>
      </c>
      <c r="CY1504">
        <v>1</v>
      </c>
      <c r="CZ1504">
        <v>0</v>
      </c>
      <c r="DA1504">
        <v>1</v>
      </c>
      <c r="DB1504">
        <v>0</v>
      </c>
      <c r="DC1504">
        <v>0</v>
      </c>
      <c r="DD1504">
        <v>1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>"12/16/2021 14:51:04.007"</f>
        <v>12/16/2021 14:51:04.007</v>
      </c>
      <c r="C1505" t="str">
        <f t="shared" si="73"/>
        <v>FFDFD3C0</v>
      </c>
      <c r="D1505" t="s">
        <v>124</v>
      </c>
      <c r="E1505">
        <v>5</v>
      </c>
      <c r="F1505">
        <v>1005</v>
      </c>
      <c r="G1505" t="s">
        <v>114</v>
      </c>
      <c r="J1505" t="s">
        <v>125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"14:51:03.805"</f>
        <v>14:51:03.805</v>
      </c>
      <c r="T1505" t="str">
        <f>"14:51:03.305"</f>
        <v>14:51:03.305</v>
      </c>
      <c r="U1505" t="str">
        <f t="shared" si="75"/>
        <v>A0F928</v>
      </c>
      <c r="V1505">
        <v>0</v>
      </c>
      <c r="W1505">
        <v>0</v>
      </c>
      <c r="X1505">
        <v>2</v>
      </c>
      <c r="Z1505">
        <v>0</v>
      </c>
      <c r="AA1505">
        <v>9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2</v>
      </c>
      <c r="AH1505">
        <v>1</v>
      </c>
      <c r="AI1505" t="s">
        <v>824</v>
      </c>
      <c r="AJ1505">
        <v>35.803800000000003</v>
      </c>
      <c r="AK1505" t="s">
        <v>825</v>
      </c>
      <c r="AL1505">
        <v>-84.043521999999996</v>
      </c>
      <c r="AM1505">
        <v>25</v>
      </c>
      <c r="AN1505">
        <v>1525</v>
      </c>
      <c r="AO1505" t="s">
        <v>118</v>
      </c>
      <c r="AP1505">
        <v>54</v>
      </c>
      <c r="AQ1505">
        <v>134</v>
      </c>
      <c r="AR1505">
        <v>-320</v>
      </c>
      <c r="AZ1505">
        <v>300</v>
      </c>
      <c r="BA1505">
        <v>1</v>
      </c>
      <c r="BB1505" t="str">
        <f t="shared" si="74"/>
        <v xml:space="preserve">N162AM  </v>
      </c>
      <c r="BC1505">
        <v>1</v>
      </c>
      <c r="BE1505">
        <v>0</v>
      </c>
      <c r="BF1505">
        <v>0</v>
      </c>
      <c r="BG1505">
        <v>0</v>
      </c>
      <c r="BH1505">
        <v>1825</v>
      </c>
      <c r="BI1505">
        <v>1</v>
      </c>
      <c r="BJ1505">
        <v>1</v>
      </c>
      <c r="BK1505">
        <v>1</v>
      </c>
      <c r="BL1505">
        <v>0</v>
      </c>
      <c r="BO1505">
        <v>0</v>
      </c>
      <c r="BP1505">
        <v>0</v>
      </c>
      <c r="BW1505" t="str">
        <f>"14:51:03.805"</f>
        <v>14:51:03.805</v>
      </c>
      <c r="CJ1505">
        <v>3</v>
      </c>
      <c r="CK1505">
        <v>2</v>
      </c>
      <c r="CL1505">
        <v>0</v>
      </c>
      <c r="CM1505">
        <v>2</v>
      </c>
      <c r="CN1505">
        <v>0</v>
      </c>
      <c r="CO1505">
        <v>6</v>
      </c>
      <c r="CP1505" t="s">
        <v>119</v>
      </c>
      <c r="CQ1505">
        <v>232</v>
      </c>
      <c r="CR1505">
        <v>2</v>
      </c>
      <c r="CW1505">
        <v>6800372</v>
      </c>
      <c r="CY1505">
        <v>1</v>
      </c>
      <c r="CZ1505">
        <v>0</v>
      </c>
      <c r="DA1505">
        <v>1</v>
      </c>
      <c r="DB1505">
        <v>0</v>
      </c>
      <c r="DC1505">
        <v>0</v>
      </c>
      <c r="DD1505">
        <v>1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>"12/16/2021 14:51:05.163"</f>
        <v>12/16/2021 14:51:05.163</v>
      </c>
      <c r="C1506" t="str">
        <f t="shared" si="73"/>
        <v>FFDFD3C0</v>
      </c>
      <c r="D1506" t="s">
        <v>133</v>
      </c>
      <c r="E1506">
        <v>44</v>
      </c>
      <c r="H1506">
        <v>131</v>
      </c>
      <c r="I1506" t="s">
        <v>134</v>
      </c>
      <c r="J1506" t="s">
        <v>135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"14:51:04.953"</f>
        <v>14:51:04.953</v>
      </c>
      <c r="T1506" t="str">
        <f>"14:51:03.353"</f>
        <v>14:51:03.353</v>
      </c>
      <c r="U1506" t="str">
        <f t="shared" si="75"/>
        <v>A0F928</v>
      </c>
      <c r="V1506">
        <v>0</v>
      </c>
      <c r="W1506">
        <v>0</v>
      </c>
      <c r="X1506">
        <v>2</v>
      </c>
      <c r="Z1506">
        <v>0</v>
      </c>
      <c r="AA1506">
        <v>9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2</v>
      </c>
      <c r="AH1506">
        <v>1</v>
      </c>
      <c r="AI1506" t="s">
        <v>826</v>
      </c>
      <c r="AJ1506">
        <v>35.804529000000002</v>
      </c>
      <c r="AK1506" t="s">
        <v>827</v>
      </c>
      <c r="AL1506">
        <v>-84.043070999999998</v>
      </c>
      <c r="AM1506">
        <v>25</v>
      </c>
      <c r="AN1506">
        <v>1525</v>
      </c>
      <c r="AO1506" t="s">
        <v>118</v>
      </c>
      <c r="AP1506">
        <v>54</v>
      </c>
      <c r="AQ1506">
        <v>134</v>
      </c>
      <c r="AR1506">
        <v>-320</v>
      </c>
      <c r="AZ1506">
        <v>300</v>
      </c>
      <c r="BA1506">
        <v>1</v>
      </c>
      <c r="BB1506" t="str">
        <f t="shared" si="74"/>
        <v xml:space="preserve">N162AM  </v>
      </c>
      <c r="BC1506">
        <v>1</v>
      </c>
      <c r="BE1506">
        <v>0</v>
      </c>
      <c r="BF1506">
        <v>0</v>
      </c>
      <c r="BG1506">
        <v>0</v>
      </c>
      <c r="BH1506">
        <v>1800</v>
      </c>
      <c r="BI1506">
        <v>1</v>
      </c>
      <c r="BJ1506">
        <v>1</v>
      </c>
      <c r="BK1506">
        <v>1</v>
      </c>
      <c r="BL1506">
        <v>0</v>
      </c>
      <c r="BO1506">
        <v>0</v>
      </c>
      <c r="BP1506">
        <v>0</v>
      </c>
      <c r="BW1506" t="str">
        <f>"14:51:04.960"</f>
        <v>14:51:04.960</v>
      </c>
      <c r="CJ1506">
        <v>3</v>
      </c>
      <c r="CK1506">
        <v>2</v>
      </c>
      <c r="CL1506">
        <v>0</v>
      </c>
      <c r="CM1506">
        <v>2</v>
      </c>
      <c r="CN1506">
        <v>0</v>
      </c>
      <c r="CO1506">
        <v>5</v>
      </c>
      <c r="CP1506" t="s">
        <v>119</v>
      </c>
      <c r="CQ1506">
        <v>232</v>
      </c>
      <c r="CR1506">
        <v>1</v>
      </c>
      <c r="CW1506">
        <v>15598785</v>
      </c>
      <c r="CY1506">
        <v>1</v>
      </c>
      <c r="CZ1506">
        <v>0</v>
      </c>
      <c r="DA1506">
        <v>0</v>
      </c>
      <c r="DB1506">
        <v>0</v>
      </c>
      <c r="DC1506">
        <v>0</v>
      </c>
      <c r="DD1506">
        <v>1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>"12/16/2021 14:51:05.163"</f>
        <v>12/16/2021 14:51:05.163</v>
      </c>
      <c r="C1507" t="str">
        <f t="shared" si="73"/>
        <v>FFDFD3C0</v>
      </c>
      <c r="D1507" t="s">
        <v>124</v>
      </c>
      <c r="E1507">
        <v>5</v>
      </c>
      <c r="F1507">
        <v>1005</v>
      </c>
      <c r="G1507" t="s">
        <v>114</v>
      </c>
      <c r="J1507" t="s">
        <v>125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"14:51:04.953"</f>
        <v>14:51:04.953</v>
      </c>
      <c r="T1507" t="str">
        <f>"14:51:03.353"</f>
        <v>14:51:03.353</v>
      </c>
      <c r="U1507" t="str">
        <f t="shared" si="75"/>
        <v>A0F928</v>
      </c>
      <c r="V1507">
        <v>0</v>
      </c>
      <c r="W1507">
        <v>0</v>
      </c>
      <c r="X1507">
        <v>2</v>
      </c>
      <c r="Z1507">
        <v>0</v>
      </c>
      <c r="AA1507">
        <v>9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2</v>
      </c>
      <c r="AH1507">
        <v>1</v>
      </c>
      <c r="AI1507" t="s">
        <v>826</v>
      </c>
      <c r="AJ1507">
        <v>35.804529000000002</v>
      </c>
      <c r="AK1507" t="s">
        <v>827</v>
      </c>
      <c r="AL1507">
        <v>-84.043070999999998</v>
      </c>
      <c r="AM1507">
        <v>25</v>
      </c>
      <c r="AN1507">
        <v>1525</v>
      </c>
      <c r="AO1507" t="s">
        <v>118</v>
      </c>
      <c r="AP1507">
        <v>54</v>
      </c>
      <c r="AQ1507">
        <v>134</v>
      </c>
      <c r="AR1507">
        <v>-320</v>
      </c>
      <c r="AZ1507">
        <v>300</v>
      </c>
      <c r="BA1507">
        <v>1</v>
      </c>
      <c r="BB1507" t="str">
        <f t="shared" si="74"/>
        <v xml:space="preserve">N162AM  </v>
      </c>
      <c r="BC1507">
        <v>1</v>
      </c>
      <c r="BE1507">
        <v>0</v>
      </c>
      <c r="BF1507">
        <v>0</v>
      </c>
      <c r="BG1507">
        <v>0</v>
      </c>
      <c r="BH1507">
        <v>1800</v>
      </c>
      <c r="BI1507">
        <v>1</v>
      </c>
      <c r="BJ1507">
        <v>1</v>
      </c>
      <c r="BK1507">
        <v>1</v>
      </c>
      <c r="BL1507">
        <v>0</v>
      </c>
      <c r="BO1507">
        <v>0</v>
      </c>
      <c r="BP1507">
        <v>0</v>
      </c>
      <c r="BW1507" t="str">
        <f>"14:51:04.960"</f>
        <v>14:51:04.960</v>
      </c>
      <c r="CJ1507">
        <v>3</v>
      </c>
      <c r="CK1507">
        <v>2</v>
      </c>
      <c r="CL1507">
        <v>0</v>
      </c>
      <c r="CM1507">
        <v>2</v>
      </c>
      <c r="CN1507">
        <v>0</v>
      </c>
      <c r="CO1507">
        <v>5</v>
      </c>
      <c r="CP1507" t="s">
        <v>119</v>
      </c>
      <c r="CQ1507">
        <v>232</v>
      </c>
      <c r="CR1507">
        <v>1</v>
      </c>
      <c r="CW1507">
        <v>15598785</v>
      </c>
      <c r="CY1507">
        <v>1</v>
      </c>
      <c r="CZ1507">
        <v>0</v>
      </c>
      <c r="DA1507">
        <v>1</v>
      </c>
      <c r="DB1507">
        <v>0</v>
      </c>
      <c r="DC1507">
        <v>0</v>
      </c>
      <c r="DD1507">
        <v>1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>"12/16/2021 14:51:05.210"</f>
        <v>12/16/2021 14:51:05.210</v>
      </c>
      <c r="C1508" t="str">
        <f t="shared" si="73"/>
        <v>FFDFD3C0</v>
      </c>
      <c r="D1508" t="s">
        <v>124</v>
      </c>
      <c r="E1508">
        <v>10</v>
      </c>
      <c r="F1508">
        <v>1010</v>
      </c>
      <c r="G1508" t="s">
        <v>130</v>
      </c>
      <c r="J1508" t="s">
        <v>125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"14:51:04.953"</f>
        <v>14:51:04.953</v>
      </c>
      <c r="T1508" t="str">
        <f>"14:51:03.353"</f>
        <v>14:51:03.353</v>
      </c>
      <c r="U1508" t="str">
        <f t="shared" si="75"/>
        <v>A0F928</v>
      </c>
      <c r="V1508">
        <v>0</v>
      </c>
      <c r="W1508">
        <v>0</v>
      </c>
      <c r="X1508">
        <v>2</v>
      </c>
      <c r="Z1508">
        <v>0</v>
      </c>
      <c r="AA1508">
        <v>9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2</v>
      </c>
      <c r="AH1508">
        <v>1</v>
      </c>
      <c r="AI1508" t="s">
        <v>826</v>
      </c>
      <c r="AJ1508">
        <v>35.804529000000002</v>
      </c>
      <c r="AK1508" t="s">
        <v>827</v>
      </c>
      <c r="AL1508">
        <v>-84.043070999999998</v>
      </c>
      <c r="AM1508">
        <v>25</v>
      </c>
      <c r="AN1508">
        <v>1525</v>
      </c>
      <c r="AO1508" t="s">
        <v>118</v>
      </c>
      <c r="AP1508">
        <v>54</v>
      </c>
      <c r="AQ1508">
        <v>134</v>
      </c>
      <c r="AR1508">
        <v>-320</v>
      </c>
      <c r="AZ1508">
        <v>300</v>
      </c>
      <c r="BA1508">
        <v>1</v>
      </c>
      <c r="BB1508" t="str">
        <f t="shared" si="74"/>
        <v xml:space="preserve">N162AM  </v>
      </c>
      <c r="BC1508">
        <v>1</v>
      </c>
      <c r="BE1508">
        <v>0</v>
      </c>
      <c r="BF1508">
        <v>0</v>
      </c>
      <c r="BG1508">
        <v>0</v>
      </c>
      <c r="BH1508">
        <v>1800</v>
      </c>
      <c r="BI1508">
        <v>1</v>
      </c>
      <c r="BJ1508">
        <v>1</v>
      </c>
      <c r="BK1508">
        <v>1</v>
      </c>
      <c r="BL1508">
        <v>0</v>
      </c>
      <c r="BO1508">
        <v>0</v>
      </c>
      <c r="BP1508">
        <v>0</v>
      </c>
      <c r="BW1508" t="str">
        <f>"14:51:04.960"</f>
        <v>14:51:04.960</v>
      </c>
      <c r="CJ1508">
        <v>3</v>
      </c>
      <c r="CK1508">
        <v>2</v>
      </c>
      <c r="CL1508">
        <v>0</v>
      </c>
      <c r="CM1508">
        <v>2</v>
      </c>
      <c r="CN1508">
        <v>0</v>
      </c>
      <c r="CO1508">
        <v>5</v>
      </c>
      <c r="CP1508" t="s">
        <v>119</v>
      </c>
      <c r="CQ1508">
        <v>232</v>
      </c>
      <c r="CR1508">
        <v>1</v>
      </c>
      <c r="CW1508">
        <v>15598785</v>
      </c>
      <c r="CY1508">
        <v>1</v>
      </c>
      <c r="CZ1508">
        <v>0</v>
      </c>
      <c r="DA1508">
        <v>1</v>
      </c>
      <c r="DB1508">
        <v>0</v>
      </c>
      <c r="DC1508">
        <v>0</v>
      </c>
      <c r="DD1508">
        <v>1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>"12/16/2021 14:51:05.210"</f>
        <v>12/16/2021 14:51:05.210</v>
      </c>
      <c r="C1509" t="str">
        <f t="shared" si="73"/>
        <v>FFDFD3C0</v>
      </c>
      <c r="D1509" t="s">
        <v>113</v>
      </c>
      <c r="E1509">
        <v>8</v>
      </c>
      <c r="H1509">
        <v>176</v>
      </c>
      <c r="I1509" t="s">
        <v>114</v>
      </c>
      <c r="J1509" t="s">
        <v>115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"14:51:04.953"</f>
        <v>14:51:04.953</v>
      </c>
      <c r="T1509" t="str">
        <f>"14:51:03.353"</f>
        <v>14:51:03.353</v>
      </c>
      <c r="U1509" t="str">
        <f t="shared" si="75"/>
        <v>A0F928</v>
      </c>
      <c r="V1509">
        <v>0</v>
      </c>
      <c r="W1509">
        <v>0</v>
      </c>
      <c r="X1509">
        <v>2</v>
      </c>
      <c r="Z1509">
        <v>0</v>
      </c>
      <c r="AA1509">
        <v>9</v>
      </c>
      <c r="AB1509">
        <v>3</v>
      </c>
      <c r="AC1509">
        <v>0</v>
      </c>
      <c r="AD1509">
        <v>10</v>
      </c>
      <c r="AE1509">
        <v>0</v>
      </c>
      <c r="AF1509">
        <v>3</v>
      </c>
      <c r="AG1509">
        <v>2</v>
      </c>
      <c r="AH1509">
        <v>1</v>
      </c>
      <c r="AI1509" t="s">
        <v>826</v>
      </c>
      <c r="AJ1509">
        <v>35.804529000000002</v>
      </c>
      <c r="AK1509" t="s">
        <v>827</v>
      </c>
      <c r="AL1509">
        <v>-84.043070999999998</v>
      </c>
      <c r="AM1509">
        <v>25</v>
      </c>
      <c r="AN1509">
        <v>1525</v>
      </c>
      <c r="AO1509" t="s">
        <v>118</v>
      </c>
      <c r="AP1509">
        <v>54</v>
      </c>
      <c r="AQ1509">
        <v>134</v>
      </c>
      <c r="AR1509">
        <v>-320</v>
      </c>
      <c r="AZ1509">
        <v>300</v>
      </c>
      <c r="BA1509">
        <v>1</v>
      </c>
      <c r="BB1509" t="str">
        <f t="shared" si="74"/>
        <v xml:space="preserve">N162AM  </v>
      </c>
      <c r="BC1509">
        <v>1</v>
      </c>
      <c r="BE1509">
        <v>0</v>
      </c>
      <c r="BF1509">
        <v>0</v>
      </c>
      <c r="BG1509">
        <v>0</v>
      </c>
      <c r="BH1509">
        <v>1800</v>
      </c>
      <c r="BI1509">
        <v>1</v>
      </c>
      <c r="BJ1509">
        <v>1</v>
      </c>
      <c r="BK1509">
        <v>1</v>
      </c>
      <c r="BL1509">
        <v>0</v>
      </c>
      <c r="BO1509">
        <v>0</v>
      </c>
      <c r="BP1509">
        <v>0</v>
      </c>
      <c r="BW1509" t="str">
        <f>"14:51:04.960"</f>
        <v>14:51:04.960</v>
      </c>
      <c r="CJ1509">
        <v>3</v>
      </c>
      <c r="CK1509">
        <v>2</v>
      </c>
      <c r="CL1509">
        <v>0</v>
      </c>
      <c r="CM1509">
        <v>2</v>
      </c>
      <c r="CN1509">
        <v>0</v>
      </c>
      <c r="CO1509">
        <v>5</v>
      </c>
      <c r="CP1509" t="s">
        <v>119</v>
      </c>
      <c r="CQ1509">
        <v>232</v>
      </c>
      <c r="CR1509">
        <v>1</v>
      </c>
      <c r="CW1509">
        <v>15598785</v>
      </c>
      <c r="CY1509">
        <v>1</v>
      </c>
      <c r="CZ1509">
        <v>0</v>
      </c>
      <c r="DA1509">
        <v>1</v>
      </c>
      <c r="DB1509">
        <v>0</v>
      </c>
      <c r="DC1509">
        <v>0</v>
      </c>
      <c r="DD1509">
        <v>1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>"12/16/2021 14:51:06.070"</f>
        <v>12/16/2021 14:51:06.070</v>
      </c>
      <c r="C1510" t="str">
        <f t="shared" si="73"/>
        <v>FFDFD3C0</v>
      </c>
      <c r="D1510" t="s">
        <v>113</v>
      </c>
      <c r="E1510">
        <v>8</v>
      </c>
      <c r="H1510">
        <v>176</v>
      </c>
      <c r="I1510" t="s">
        <v>114</v>
      </c>
      <c r="J1510" t="s">
        <v>115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"14:51:05.844"</f>
        <v>14:51:05.844</v>
      </c>
      <c r="T1510" t="str">
        <f>"14:51:05.444"</f>
        <v>14:51:05.444</v>
      </c>
      <c r="U1510" t="str">
        <f t="shared" si="75"/>
        <v>A0F928</v>
      </c>
      <c r="V1510">
        <v>0</v>
      </c>
      <c r="W1510">
        <v>0</v>
      </c>
      <c r="X1510">
        <v>2</v>
      </c>
      <c r="Z1510">
        <v>0</v>
      </c>
      <c r="AA1510">
        <v>9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2</v>
      </c>
      <c r="AH1510">
        <v>1</v>
      </c>
      <c r="AI1510" t="s">
        <v>828</v>
      </c>
      <c r="AJ1510">
        <v>35.805000999999997</v>
      </c>
      <c r="AK1510" t="s">
        <v>829</v>
      </c>
      <c r="AL1510">
        <v>-84.042771000000002</v>
      </c>
      <c r="AM1510">
        <v>25</v>
      </c>
      <c r="AN1510">
        <v>1500</v>
      </c>
      <c r="AO1510" t="s">
        <v>118</v>
      </c>
      <c r="AP1510">
        <v>67</v>
      </c>
      <c r="AQ1510">
        <v>129</v>
      </c>
      <c r="AR1510">
        <v>-448</v>
      </c>
      <c r="AZ1510">
        <v>300</v>
      </c>
      <c r="BA1510">
        <v>1</v>
      </c>
      <c r="BB1510" t="str">
        <f t="shared" si="74"/>
        <v xml:space="preserve">N162AM  </v>
      </c>
      <c r="BC1510">
        <v>1</v>
      </c>
      <c r="BE1510">
        <v>0</v>
      </c>
      <c r="BF1510">
        <v>0</v>
      </c>
      <c r="BG1510">
        <v>0</v>
      </c>
      <c r="BH1510">
        <v>1775</v>
      </c>
      <c r="BI1510">
        <v>1</v>
      </c>
      <c r="BJ1510">
        <v>1</v>
      </c>
      <c r="BK1510">
        <v>1</v>
      </c>
      <c r="BL1510">
        <v>0</v>
      </c>
      <c r="BO1510">
        <v>0</v>
      </c>
      <c r="BP1510">
        <v>0</v>
      </c>
      <c r="BW1510" t="str">
        <f>"14:51:05.846"</f>
        <v>14:51:05.846</v>
      </c>
      <c r="CJ1510">
        <v>3</v>
      </c>
      <c r="CK1510">
        <v>2</v>
      </c>
      <c r="CL1510">
        <v>0</v>
      </c>
      <c r="CM1510">
        <v>2</v>
      </c>
      <c r="CN1510">
        <v>0</v>
      </c>
      <c r="CO1510">
        <v>5</v>
      </c>
      <c r="CP1510" t="s">
        <v>119</v>
      </c>
      <c r="CQ1510">
        <v>232</v>
      </c>
      <c r="CR1510">
        <v>2</v>
      </c>
      <c r="CW1510">
        <v>6803534</v>
      </c>
      <c r="CY1510">
        <v>1</v>
      </c>
      <c r="CZ1510">
        <v>0</v>
      </c>
      <c r="DA1510">
        <v>0</v>
      </c>
      <c r="DB1510">
        <v>0</v>
      </c>
      <c r="DC1510">
        <v>0</v>
      </c>
      <c r="DD1510">
        <v>1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>"12/16/2021 14:51:06.070"</f>
        <v>12/16/2021 14:51:06.070</v>
      </c>
      <c r="C1511" t="str">
        <f t="shared" si="73"/>
        <v>FFDFD3C0</v>
      </c>
      <c r="D1511" t="s">
        <v>133</v>
      </c>
      <c r="E1511">
        <v>44</v>
      </c>
      <c r="H1511">
        <v>131</v>
      </c>
      <c r="I1511" t="s">
        <v>134</v>
      </c>
      <c r="J1511" t="s">
        <v>135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"14:51:05.844"</f>
        <v>14:51:05.844</v>
      </c>
      <c r="T1511" t="str">
        <f>"14:51:05.444"</f>
        <v>14:51:05.444</v>
      </c>
      <c r="U1511" t="str">
        <f t="shared" si="75"/>
        <v>A0F928</v>
      </c>
      <c r="V1511">
        <v>0</v>
      </c>
      <c r="W1511">
        <v>0</v>
      </c>
      <c r="X1511">
        <v>2</v>
      </c>
      <c r="Z1511">
        <v>0</v>
      </c>
      <c r="AA1511">
        <v>9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2</v>
      </c>
      <c r="AH1511">
        <v>1</v>
      </c>
      <c r="AI1511" t="s">
        <v>828</v>
      </c>
      <c r="AJ1511">
        <v>35.805000999999997</v>
      </c>
      <c r="AK1511" t="s">
        <v>829</v>
      </c>
      <c r="AL1511">
        <v>-84.042771000000002</v>
      </c>
      <c r="AM1511">
        <v>25</v>
      </c>
      <c r="AN1511">
        <v>1500</v>
      </c>
      <c r="AO1511" t="s">
        <v>118</v>
      </c>
      <c r="AP1511">
        <v>67</v>
      </c>
      <c r="AQ1511">
        <v>129</v>
      </c>
      <c r="AR1511">
        <v>-448</v>
      </c>
      <c r="AZ1511">
        <v>300</v>
      </c>
      <c r="BA1511">
        <v>1</v>
      </c>
      <c r="BB1511" t="str">
        <f t="shared" si="74"/>
        <v xml:space="preserve">N162AM  </v>
      </c>
      <c r="BC1511">
        <v>1</v>
      </c>
      <c r="BE1511">
        <v>0</v>
      </c>
      <c r="BF1511">
        <v>0</v>
      </c>
      <c r="BG1511">
        <v>0</v>
      </c>
      <c r="BH1511">
        <v>1775</v>
      </c>
      <c r="BI1511">
        <v>1</v>
      </c>
      <c r="BJ1511">
        <v>1</v>
      </c>
      <c r="BK1511">
        <v>1</v>
      </c>
      <c r="BL1511">
        <v>0</v>
      </c>
      <c r="BO1511">
        <v>0</v>
      </c>
      <c r="BP1511">
        <v>0</v>
      </c>
      <c r="BW1511" t="str">
        <f>"14:51:05.846"</f>
        <v>14:51:05.846</v>
      </c>
      <c r="CJ1511">
        <v>3</v>
      </c>
      <c r="CK1511">
        <v>2</v>
      </c>
      <c r="CL1511">
        <v>0</v>
      </c>
      <c r="CM1511">
        <v>2</v>
      </c>
      <c r="CN1511">
        <v>0</v>
      </c>
      <c r="CO1511">
        <v>5</v>
      </c>
      <c r="CP1511" t="s">
        <v>119</v>
      </c>
      <c r="CQ1511">
        <v>232</v>
      </c>
      <c r="CR1511">
        <v>2</v>
      </c>
      <c r="CW1511">
        <v>6803534</v>
      </c>
      <c r="CY1511">
        <v>1</v>
      </c>
      <c r="CZ1511">
        <v>0</v>
      </c>
      <c r="DA1511">
        <v>1</v>
      </c>
      <c r="DB1511">
        <v>0</v>
      </c>
      <c r="DC1511">
        <v>0</v>
      </c>
      <c r="DD1511">
        <v>1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"12/16/2021 14:51:06.070"</f>
        <v>12/16/2021 14:51:06.070</v>
      </c>
      <c r="C1512" t="str">
        <f t="shared" si="73"/>
        <v>FFDFD3C0</v>
      </c>
      <c r="D1512" t="s">
        <v>124</v>
      </c>
      <c r="E1512">
        <v>5</v>
      </c>
      <c r="F1512">
        <v>1005</v>
      </c>
      <c r="G1512" t="s">
        <v>114</v>
      </c>
      <c r="J1512" t="s">
        <v>125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"14:51:05.844"</f>
        <v>14:51:05.844</v>
      </c>
      <c r="T1512" t="str">
        <f>"14:51:05.444"</f>
        <v>14:51:05.444</v>
      </c>
      <c r="U1512" t="str">
        <f t="shared" si="75"/>
        <v>A0F928</v>
      </c>
      <c r="V1512">
        <v>0</v>
      </c>
      <c r="W1512">
        <v>0</v>
      </c>
      <c r="X1512">
        <v>2</v>
      </c>
      <c r="Z1512">
        <v>0</v>
      </c>
      <c r="AA1512">
        <v>9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2</v>
      </c>
      <c r="AH1512">
        <v>1</v>
      </c>
      <c r="AI1512" t="s">
        <v>828</v>
      </c>
      <c r="AJ1512">
        <v>35.805000999999997</v>
      </c>
      <c r="AK1512" t="s">
        <v>829</v>
      </c>
      <c r="AL1512">
        <v>-84.042771000000002</v>
      </c>
      <c r="AM1512">
        <v>25</v>
      </c>
      <c r="AN1512">
        <v>1500</v>
      </c>
      <c r="AO1512" t="s">
        <v>118</v>
      </c>
      <c r="AP1512">
        <v>67</v>
      </c>
      <c r="AQ1512">
        <v>129</v>
      </c>
      <c r="AR1512">
        <v>-448</v>
      </c>
      <c r="AZ1512">
        <v>300</v>
      </c>
      <c r="BA1512">
        <v>1</v>
      </c>
      <c r="BB1512" t="str">
        <f t="shared" si="74"/>
        <v xml:space="preserve">N162AM  </v>
      </c>
      <c r="BC1512">
        <v>1</v>
      </c>
      <c r="BE1512">
        <v>0</v>
      </c>
      <c r="BF1512">
        <v>0</v>
      </c>
      <c r="BG1512">
        <v>0</v>
      </c>
      <c r="BH1512">
        <v>1775</v>
      </c>
      <c r="BI1512">
        <v>1</v>
      </c>
      <c r="BJ1512">
        <v>1</v>
      </c>
      <c r="BK1512">
        <v>1</v>
      </c>
      <c r="BL1512">
        <v>0</v>
      </c>
      <c r="BO1512">
        <v>0</v>
      </c>
      <c r="BP1512">
        <v>0</v>
      </c>
      <c r="BW1512" t="str">
        <f>"14:51:05.846"</f>
        <v>14:51:05.846</v>
      </c>
      <c r="CJ1512">
        <v>3</v>
      </c>
      <c r="CK1512">
        <v>2</v>
      </c>
      <c r="CL1512">
        <v>0</v>
      </c>
      <c r="CM1512">
        <v>2</v>
      </c>
      <c r="CN1512">
        <v>0</v>
      </c>
      <c r="CO1512">
        <v>5</v>
      </c>
      <c r="CP1512" t="s">
        <v>119</v>
      </c>
      <c r="CQ1512">
        <v>232</v>
      </c>
      <c r="CR1512">
        <v>2</v>
      </c>
      <c r="CW1512">
        <v>6803534</v>
      </c>
      <c r="CY1512">
        <v>1</v>
      </c>
      <c r="CZ1512">
        <v>0</v>
      </c>
      <c r="DA1512">
        <v>1</v>
      </c>
      <c r="DB1512">
        <v>0</v>
      </c>
      <c r="DC1512">
        <v>0</v>
      </c>
      <c r="DD1512">
        <v>1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"12/16/2021 14:51:06.085"</f>
        <v>12/16/2021 14:51:06.085</v>
      </c>
      <c r="C1513" t="str">
        <f t="shared" si="73"/>
        <v>FFDFD3C0</v>
      </c>
      <c r="D1513" t="s">
        <v>124</v>
      </c>
      <c r="E1513">
        <v>10</v>
      </c>
      <c r="F1513">
        <v>1010</v>
      </c>
      <c r="G1513" t="s">
        <v>130</v>
      </c>
      <c r="J1513" t="s">
        <v>125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"14:51:05.844"</f>
        <v>14:51:05.844</v>
      </c>
      <c r="T1513" t="str">
        <f>"14:51:05.444"</f>
        <v>14:51:05.444</v>
      </c>
      <c r="U1513" t="str">
        <f t="shared" si="75"/>
        <v>A0F928</v>
      </c>
      <c r="V1513">
        <v>0</v>
      </c>
      <c r="W1513">
        <v>0</v>
      </c>
      <c r="X1513">
        <v>2</v>
      </c>
      <c r="Z1513">
        <v>0</v>
      </c>
      <c r="AA1513">
        <v>9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2</v>
      </c>
      <c r="AH1513">
        <v>1</v>
      </c>
      <c r="AI1513" t="s">
        <v>828</v>
      </c>
      <c r="AJ1513">
        <v>35.805000999999997</v>
      </c>
      <c r="AK1513" t="s">
        <v>829</v>
      </c>
      <c r="AL1513">
        <v>-84.042771000000002</v>
      </c>
      <c r="AM1513">
        <v>25</v>
      </c>
      <c r="AN1513">
        <v>1500</v>
      </c>
      <c r="AO1513" t="s">
        <v>118</v>
      </c>
      <c r="AP1513">
        <v>67</v>
      </c>
      <c r="AQ1513">
        <v>129</v>
      </c>
      <c r="AR1513">
        <v>-448</v>
      </c>
      <c r="AZ1513">
        <v>300</v>
      </c>
      <c r="BA1513">
        <v>1</v>
      </c>
      <c r="BB1513" t="str">
        <f t="shared" si="74"/>
        <v xml:space="preserve">N162AM  </v>
      </c>
      <c r="BC1513">
        <v>1</v>
      </c>
      <c r="BE1513">
        <v>0</v>
      </c>
      <c r="BF1513">
        <v>0</v>
      </c>
      <c r="BG1513">
        <v>0</v>
      </c>
      <c r="BH1513">
        <v>1775</v>
      </c>
      <c r="BI1513">
        <v>1</v>
      </c>
      <c r="BJ1513">
        <v>1</v>
      </c>
      <c r="BK1513">
        <v>1</v>
      </c>
      <c r="BL1513">
        <v>0</v>
      </c>
      <c r="BO1513">
        <v>0</v>
      </c>
      <c r="BP1513">
        <v>0</v>
      </c>
      <c r="BW1513" t="str">
        <f>"14:51:05.846"</f>
        <v>14:51:05.846</v>
      </c>
      <c r="CJ1513">
        <v>3</v>
      </c>
      <c r="CK1513">
        <v>2</v>
      </c>
      <c r="CL1513">
        <v>0</v>
      </c>
      <c r="CM1513">
        <v>2</v>
      </c>
      <c r="CN1513">
        <v>0</v>
      </c>
      <c r="CO1513">
        <v>5</v>
      </c>
      <c r="CP1513" t="s">
        <v>119</v>
      </c>
      <c r="CQ1513">
        <v>232</v>
      </c>
      <c r="CR1513">
        <v>2</v>
      </c>
      <c r="CW1513">
        <v>6803534</v>
      </c>
      <c r="CY1513">
        <v>1</v>
      </c>
      <c r="CZ1513">
        <v>0</v>
      </c>
      <c r="DA1513">
        <v>1</v>
      </c>
      <c r="DB1513">
        <v>0</v>
      </c>
      <c r="DC1513">
        <v>0</v>
      </c>
      <c r="DD1513">
        <v>1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"12/16/2021 14:51:07.179"</f>
        <v>12/16/2021 14:51:07.179</v>
      </c>
      <c r="C1514" t="str">
        <f t="shared" si="73"/>
        <v>FFDFD3C0</v>
      </c>
      <c r="D1514" t="s">
        <v>113</v>
      </c>
      <c r="E1514">
        <v>8</v>
      </c>
      <c r="H1514">
        <v>176</v>
      </c>
      <c r="I1514" t="s">
        <v>114</v>
      </c>
      <c r="J1514" t="s">
        <v>115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"14:51:06.961"</f>
        <v>14:51:06.961</v>
      </c>
      <c r="T1514" t="str">
        <f>"14:51:06.461"</f>
        <v>14:51:06.461</v>
      </c>
      <c r="U1514" t="str">
        <f t="shared" si="75"/>
        <v>A0F928</v>
      </c>
      <c r="V1514">
        <v>0</v>
      </c>
      <c r="W1514">
        <v>0</v>
      </c>
      <c r="X1514">
        <v>2</v>
      </c>
      <c r="Z1514">
        <v>0</v>
      </c>
      <c r="AA1514">
        <v>9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2</v>
      </c>
      <c r="AH1514">
        <v>1</v>
      </c>
      <c r="AI1514" t="s">
        <v>830</v>
      </c>
      <c r="AJ1514">
        <v>35.805688000000004</v>
      </c>
      <c r="AK1514" t="s">
        <v>831</v>
      </c>
      <c r="AL1514">
        <v>-84.042255999999995</v>
      </c>
      <c r="AM1514">
        <v>25</v>
      </c>
      <c r="AN1514">
        <v>1500</v>
      </c>
      <c r="AO1514" t="s">
        <v>118</v>
      </c>
      <c r="AP1514">
        <v>73</v>
      </c>
      <c r="AQ1514">
        <v>126</v>
      </c>
      <c r="AR1514">
        <v>-448</v>
      </c>
      <c r="AZ1514">
        <v>300</v>
      </c>
      <c r="BA1514">
        <v>1</v>
      </c>
      <c r="BB1514" t="str">
        <f t="shared" si="74"/>
        <v xml:space="preserve">N162AM  </v>
      </c>
      <c r="BC1514">
        <v>1</v>
      </c>
      <c r="BE1514">
        <v>0</v>
      </c>
      <c r="BF1514">
        <v>0</v>
      </c>
      <c r="BG1514">
        <v>0</v>
      </c>
      <c r="BH1514">
        <v>1775</v>
      </c>
      <c r="BI1514">
        <v>1</v>
      </c>
      <c r="BJ1514">
        <v>1</v>
      </c>
      <c r="BK1514">
        <v>1</v>
      </c>
      <c r="BL1514">
        <v>0</v>
      </c>
      <c r="BO1514">
        <v>0</v>
      </c>
      <c r="BP1514">
        <v>0</v>
      </c>
      <c r="BW1514" t="str">
        <f>"14:51:06.967"</f>
        <v>14:51:06.967</v>
      </c>
      <c r="CJ1514">
        <v>3</v>
      </c>
      <c r="CK1514">
        <v>2</v>
      </c>
      <c r="CL1514">
        <v>0</v>
      </c>
      <c r="CM1514">
        <v>2</v>
      </c>
      <c r="CN1514">
        <v>0</v>
      </c>
      <c r="CO1514">
        <v>3</v>
      </c>
      <c r="CP1514" t="s">
        <v>119</v>
      </c>
      <c r="CQ1514">
        <v>216</v>
      </c>
      <c r="CR1514">
        <v>0</v>
      </c>
      <c r="CW1514">
        <v>982086</v>
      </c>
      <c r="CY1514">
        <v>1</v>
      </c>
      <c r="CZ1514">
        <v>0</v>
      </c>
      <c r="DA1514">
        <v>0</v>
      </c>
      <c r="DB1514">
        <v>0</v>
      </c>
      <c r="DC1514">
        <v>0</v>
      </c>
      <c r="DD1514">
        <v>1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"12/16/2021 14:51:07.179"</f>
        <v>12/16/2021 14:51:07.179</v>
      </c>
      <c r="C1515" t="str">
        <f t="shared" si="73"/>
        <v>FFDFD3C0</v>
      </c>
      <c r="D1515" t="s">
        <v>124</v>
      </c>
      <c r="E1515">
        <v>5</v>
      </c>
      <c r="F1515">
        <v>1005</v>
      </c>
      <c r="G1515" t="s">
        <v>114</v>
      </c>
      <c r="J1515" t="s">
        <v>125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>"14:51:06.961"</f>
        <v>14:51:06.961</v>
      </c>
      <c r="T1515" t="str">
        <f>"14:51:06.461"</f>
        <v>14:51:06.461</v>
      </c>
      <c r="U1515" t="str">
        <f t="shared" si="75"/>
        <v>A0F928</v>
      </c>
      <c r="V1515">
        <v>0</v>
      </c>
      <c r="W1515">
        <v>0</v>
      </c>
      <c r="X1515">
        <v>2</v>
      </c>
      <c r="Z1515">
        <v>0</v>
      </c>
      <c r="AA1515">
        <v>9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2</v>
      </c>
      <c r="AH1515">
        <v>1</v>
      </c>
      <c r="AI1515" t="s">
        <v>830</v>
      </c>
      <c r="AJ1515">
        <v>35.805688000000004</v>
      </c>
      <c r="AK1515" t="s">
        <v>831</v>
      </c>
      <c r="AL1515">
        <v>-84.042255999999995</v>
      </c>
      <c r="AM1515">
        <v>25</v>
      </c>
      <c r="AN1515">
        <v>1500</v>
      </c>
      <c r="AO1515" t="s">
        <v>118</v>
      </c>
      <c r="AP1515">
        <v>73</v>
      </c>
      <c r="AQ1515">
        <v>126</v>
      </c>
      <c r="AR1515">
        <v>-448</v>
      </c>
      <c r="AZ1515">
        <v>300</v>
      </c>
      <c r="BA1515">
        <v>1</v>
      </c>
      <c r="BB1515" t="str">
        <f t="shared" si="74"/>
        <v xml:space="preserve">N162AM  </v>
      </c>
      <c r="BC1515">
        <v>1</v>
      </c>
      <c r="BE1515">
        <v>0</v>
      </c>
      <c r="BF1515">
        <v>0</v>
      </c>
      <c r="BG1515">
        <v>0</v>
      </c>
      <c r="BH1515">
        <v>1775</v>
      </c>
      <c r="BI1515">
        <v>1</v>
      </c>
      <c r="BJ1515">
        <v>1</v>
      </c>
      <c r="BK1515">
        <v>1</v>
      </c>
      <c r="BL1515">
        <v>0</v>
      </c>
      <c r="BO1515">
        <v>0</v>
      </c>
      <c r="BP1515">
        <v>0</v>
      </c>
      <c r="BW1515" t="str">
        <f>"14:51:06.967"</f>
        <v>14:51:06.967</v>
      </c>
      <c r="CJ1515">
        <v>3</v>
      </c>
      <c r="CK1515">
        <v>2</v>
      </c>
      <c r="CL1515">
        <v>0</v>
      </c>
      <c r="CM1515">
        <v>2</v>
      </c>
      <c r="CN1515">
        <v>0</v>
      </c>
      <c r="CO1515">
        <v>3</v>
      </c>
      <c r="CP1515" t="s">
        <v>119</v>
      </c>
      <c r="CQ1515">
        <v>216</v>
      </c>
      <c r="CR1515">
        <v>0</v>
      </c>
      <c r="CW1515">
        <v>982086</v>
      </c>
      <c r="CY1515">
        <v>1</v>
      </c>
      <c r="CZ1515">
        <v>0</v>
      </c>
      <c r="DA1515">
        <v>1</v>
      </c>
      <c r="DB1515">
        <v>0</v>
      </c>
      <c r="DC1515">
        <v>0</v>
      </c>
      <c r="DD1515">
        <v>1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"12/16/2021 14:51:07.195"</f>
        <v>12/16/2021 14:51:07.195</v>
      </c>
      <c r="C1516" t="str">
        <f t="shared" si="73"/>
        <v>FFDFD3C0</v>
      </c>
      <c r="D1516" t="s">
        <v>133</v>
      </c>
      <c r="E1516">
        <v>44</v>
      </c>
      <c r="H1516">
        <v>131</v>
      </c>
      <c r="I1516" t="s">
        <v>134</v>
      </c>
      <c r="J1516" t="s">
        <v>135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>"14:51:06.961"</f>
        <v>14:51:06.961</v>
      </c>
      <c r="T1516" t="str">
        <f>"14:51:06.461"</f>
        <v>14:51:06.461</v>
      </c>
      <c r="U1516" t="str">
        <f t="shared" si="75"/>
        <v>A0F928</v>
      </c>
      <c r="V1516">
        <v>0</v>
      </c>
      <c r="W1516">
        <v>0</v>
      </c>
      <c r="X1516">
        <v>2</v>
      </c>
      <c r="Z1516">
        <v>0</v>
      </c>
      <c r="AA1516">
        <v>9</v>
      </c>
      <c r="AB1516">
        <v>3</v>
      </c>
      <c r="AC1516">
        <v>0</v>
      </c>
      <c r="AD1516">
        <v>10</v>
      </c>
      <c r="AE1516">
        <v>0</v>
      </c>
      <c r="AF1516">
        <v>3</v>
      </c>
      <c r="AG1516">
        <v>2</v>
      </c>
      <c r="AH1516">
        <v>1</v>
      </c>
      <c r="AI1516" t="s">
        <v>830</v>
      </c>
      <c r="AJ1516">
        <v>35.805688000000004</v>
      </c>
      <c r="AK1516" t="s">
        <v>831</v>
      </c>
      <c r="AL1516">
        <v>-84.042255999999995</v>
      </c>
      <c r="AM1516">
        <v>25</v>
      </c>
      <c r="AN1516">
        <v>1500</v>
      </c>
      <c r="AO1516" t="s">
        <v>118</v>
      </c>
      <c r="AP1516">
        <v>73</v>
      </c>
      <c r="AQ1516">
        <v>126</v>
      </c>
      <c r="AR1516">
        <v>-448</v>
      </c>
      <c r="AZ1516">
        <v>300</v>
      </c>
      <c r="BA1516">
        <v>1</v>
      </c>
      <c r="BB1516" t="str">
        <f t="shared" si="74"/>
        <v xml:space="preserve">N162AM  </v>
      </c>
      <c r="BC1516">
        <v>1</v>
      </c>
      <c r="BE1516">
        <v>0</v>
      </c>
      <c r="BF1516">
        <v>0</v>
      </c>
      <c r="BG1516">
        <v>0</v>
      </c>
      <c r="BH1516">
        <v>1775</v>
      </c>
      <c r="BI1516">
        <v>1</v>
      </c>
      <c r="BJ1516">
        <v>1</v>
      </c>
      <c r="BK1516">
        <v>1</v>
      </c>
      <c r="BL1516">
        <v>0</v>
      </c>
      <c r="BO1516">
        <v>0</v>
      </c>
      <c r="BP1516">
        <v>0</v>
      </c>
      <c r="BW1516" t="str">
        <f>"14:51:06.967"</f>
        <v>14:51:06.967</v>
      </c>
      <c r="CJ1516">
        <v>3</v>
      </c>
      <c r="CK1516">
        <v>2</v>
      </c>
      <c r="CL1516">
        <v>0</v>
      </c>
      <c r="CM1516">
        <v>2</v>
      </c>
      <c r="CN1516">
        <v>0</v>
      </c>
      <c r="CO1516">
        <v>3</v>
      </c>
      <c r="CP1516" t="s">
        <v>119</v>
      </c>
      <c r="CQ1516">
        <v>216</v>
      </c>
      <c r="CR1516">
        <v>0</v>
      </c>
      <c r="CW1516">
        <v>982086</v>
      </c>
      <c r="CY1516">
        <v>1</v>
      </c>
      <c r="CZ1516">
        <v>0</v>
      </c>
      <c r="DA1516">
        <v>1</v>
      </c>
      <c r="DB1516">
        <v>0</v>
      </c>
      <c r="DC1516">
        <v>0</v>
      </c>
      <c r="DD1516">
        <v>1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>"12/16/2021 14:51:07.195"</f>
        <v>12/16/2021 14:51:07.195</v>
      </c>
      <c r="C1517" t="str">
        <f t="shared" si="73"/>
        <v>FFDFD3C0</v>
      </c>
      <c r="D1517" t="s">
        <v>124</v>
      </c>
      <c r="E1517">
        <v>10</v>
      </c>
      <c r="F1517">
        <v>1010</v>
      </c>
      <c r="G1517" t="s">
        <v>130</v>
      </c>
      <c r="J1517" t="s">
        <v>125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"14:51:06.961"</f>
        <v>14:51:06.961</v>
      </c>
      <c r="T1517" t="str">
        <f>"14:51:06.461"</f>
        <v>14:51:06.461</v>
      </c>
      <c r="U1517" t="str">
        <f t="shared" si="75"/>
        <v>A0F928</v>
      </c>
      <c r="V1517">
        <v>0</v>
      </c>
      <c r="W1517">
        <v>0</v>
      </c>
      <c r="X1517">
        <v>2</v>
      </c>
      <c r="Z1517">
        <v>0</v>
      </c>
      <c r="AA1517">
        <v>9</v>
      </c>
      <c r="AB1517">
        <v>3</v>
      </c>
      <c r="AC1517">
        <v>0</v>
      </c>
      <c r="AD1517">
        <v>10</v>
      </c>
      <c r="AE1517">
        <v>0</v>
      </c>
      <c r="AF1517">
        <v>3</v>
      </c>
      <c r="AG1517">
        <v>2</v>
      </c>
      <c r="AH1517">
        <v>1</v>
      </c>
      <c r="AI1517" t="s">
        <v>830</v>
      </c>
      <c r="AJ1517">
        <v>35.805688000000004</v>
      </c>
      <c r="AK1517" t="s">
        <v>831</v>
      </c>
      <c r="AL1517">
        <v>-84.042255999999995</v>
      </c>
      <c r="AM1517">
        <v>25</v>
      </c>
      <c r="AN1517">
        <v>1500</v>
      </c>
      <c r="AO1517" t="s">
        <v>118</v>
      </c>
      <c r="AP1517">
        <v>73</v>
      </c>
      <c r="AQ1517">
        <v>126</v>
      </c>
      <c r="AR1517">
        <v>-448</v>
      </c>
      <c r="AZ1517">
        <v>300</v>
      </c>
      <c r="BA1517">
        <v>1</v>
      </c>
      <c r="BB1517" t="str">
        <f t="shared" si="74"/>
        <v xml:space="preserve">N162AM  </v>
      </c>
      <c r="BC1517">
        <v>1</v>
      </c>
      <c r="BE1517">
        <v>0</v>
      </c>
      <c r="BF1517">
        <v>0</v>
      </c>
      <c r="BG1517">
        <v>0</v>
      </c>
      <c r="BH1517">
        <v>1775</v>
      </c>
      <c r="BI1517">
        <v>1</v>
      </c>
      <c r="BJ1517">
        <v>1</v>
      </c>
      <c r="BK1517">
        <v>1</v>
      </c>
      <c r="BL1517">
        <v>0</v>
      </c>
      <c r="BO1517">
        <v>0</v>
      </c>
      <c r="BP1517">
        <v>0</v>
      </c>
      <c r="BW1517" t="str">
        <f>"14:51:06.967"</f>
        <v>14:51:06.967</v>
      </c>
      <c r="CJ1517">
        <v>3</v>
      </c>
      <c r="CK1517">
        <v>2</v>
      </c>
      <c r="CL1517">
        <v>0</v>
      </c>
      <c r="CM1517">
        <v>2</v>
      </c>
      <c r="CN1517">
        <v>0</v>
      </c>
      <c r="CO1517">
        <v>3</v>
      </c>
      <c r="CP1517" t="s">
        <v>119</v>
      </c>
      <c r="CQ1517">
        <v>216</v>
      </c>
      <c r="CR1517">
        <v>0</v>
      </c>
      <c r="CW1517">
        <v>982086</v>
      </c>
      <c r="CY1517">
        <v>1</v>
      </c>
      <c r="CZ1517">
        <v>0</v>
      </c>
      <c r="DA1517">
        <v>1</v>
      </c>
      <c r="DB1517">
        <v>0</v>
      </c>
      <c r="DC1517">
        <v>0</v>
      </c>
      <c r="DD1517">
        <v>1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>"12/16/2021 14:51:08.039"</f>
        <v>12/16/2021 14:51:08.039</v>
      </c>
      <c r="C1518" t="str">
        <f t="shared" ref="C1518:C1581" si="76">"FFDFD3C0"</f>
        <v>FFDFD3C0</v>
      </c>
      <c r="D1518" t="s">
        <v>124</v>
      </c>
      <c r="E1518">
        <v>5</v>
      </c>
      <c r="F1518">
        <v>1005</v>
      </c>
      <c r="G1518" t="s">
        <v>114</v>
      </c>
      <c r="J1518" t="s">
        <v>125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>"14:51:07.867"</f>
        <v>14:51:07.867</v>
      </c>
      <c r="T1518" t="str">
        <f>"14:51:07.467"</f>
        <v>14:51:07.467</v>
      </c>
      <c r="U1518" t="str">
        <f t="shared" si="75"/>
        <v>A0F928</v>
      </c>
      <c r="V1518">
        <v>0</v>
      </c>
      <c r="W1518">
        <v>0</v>
      </c>
      <c r="X1518">
        <v>2</v>
      </c>
      <c r="Z1518">
        <v>0</v>
      </c>
      <c r="AA1518">
        <v>9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2</v>
      </c>
      <c r="AH1518">
        <v>1</v>
      </c>
      <c r="AI1518" t="s">
        <v>832</v>
      </c>
      <c r="AJ1518">
        <v>35.806202999999996</v>
      </c>
      <c r="AK1518" t="s">
        <v>833</v>
      </c>
      <c r="AL1518">
        <v>-84.041848000000002</v>
      </c>
      <c r="AM1518">
        <v>25</v>
      </c>
      <c r="AN1518">
        <v>1500</v>
      </c>
      <c r="AO1518" t="s">
        <v>118</v>
      </c>
      <c r="AP1518">
        <v>80</v>
      </c>
      <c r="AQ1518">
        <v>122</v>
      </c>
      <c r="AR1518">
        <v>-384</v>
      </c>
      <c r="AZ1518">
        <v>300</v>
      </c>
      <c r="BA1518">
        <v>1</v>
      </c>
      <c r="BB1518" t="str">
        <f t="shared" ref="BB1518:BB1581" si="77">"N162AM  "</f>
        <v xml:space="preserve">N162AM  </v>
      </c>
      <c r="BC1518">
        <v>1</v>
      </c>
      <c r="BE1518">
        <v>0</v>
      </c>
      <c r="BF1518">
        <v>0</v>
      </c>
      <c r="BG1518">
        <v>0</v>
      </c>
      <c r="BH1518">
        <v>1775</v>
      </c>
      <c r="BI1518">
        <v>1</v>
      </c>
      <c r="BJ1518">
        <v>1</v>
      </c>
      <c r="BK1518">
        <v>1</v>
      </c>
      <c r="BL1518">
        <v>0</v>
      </c>
      <c r="BO1518">
        <v>0</v>
      </c>
      <c r="BP1518">
        <v>0</v>
      </c>
      <c r="BW1518" t="str">
        <f>"14:51:07.873"</f>
        <v>14:51:07.873</v>
      </c>
      <c r="CJ1518">
        <v>3</v>
      </c>
      <c r="CK1518">
        <v>2</v>
      </c>
      <c r="CL1518">
        <v>0</v>
      </c>
      <c r="CM1518">
        <v>2</v>
      </c>
      <c r="CN1518">
        <v>0</v>
      </c>
      <c r="CO1518">
        <v>6</v>
      </c>
      <c r="CP1518" t="s">
        <v>119</v>
      </c>
      <c r="CQ1518">
        <v>232</v>
      </c>
      <c r="CR1518">
        <v>2</v>
      </c>
      <c r="CW1518">
        <v>6806724</v>
      </c>
      <c r="CY1518">
        <v>1</v>
      </c>
      <c r="CZ1518">
        <v>0</v>
      </c>
      <c r="DA1518">
        <v>0</v>
      </c>
      <c r="DB1518">
        <v>0</v>
      </c>
      <c r="DC1518">
        <v>0</v>
      </c>
      <c r="DD1518">
        <v>1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>"12/16/2021 14:51:08.070"</f>
        <v>12/16/2021 14:51:08.070</v>
      </c>
      <c r="C1519" t="str">
        <f t="shared" si="76"/>
        <v>FFDFD3C0</v>
      </c>
      <c r="D1519" t="s">
        <v>133</v>
      </c>
      <c r="E1519">
        <v>44</v>
      </c>
      <c r="H1519">
        <v>131</v>
      </c>
      <c r="I1519" t="s">
        <v>134</v>
      </c>
      <c r="J1519" t="s">
        <v>135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>"14:51:07.867"</f>
        <v>14:51:07.867</v>
      </c>
      <c r="T1519" t="str">
        <f>"14:51:07.467"</f>
        <v>14:51:07.467</v>
      </c>
      <c r="U1519" t="str">
        <f t="shared" si="75"/>
        <v>A0F928</v>
      </c>
      <c r="V1519">
        <v>0</v>
      </c>
      <c r="W1519">
        <v>0</v>
      </c>
      <c r="X1519">
        <v>2</v>
      </c>
      <c r="Z1519">
        <v>0</v>
      </c>
      <c r="AA1519">
        <v>9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2</v>
      </c>
      <c r="AH1519">
        <v>1</v>
      </c>
      <c r="AI1519" t="s">
        <v>832</v>
      </c>
      <c r="AJ1519">
        <v>35.806202999999996</v>
      </c>
      <c r="AK1519" t="s">
        <v>833</v>
      </c>
      <c r="AL1519">
        <v>-84.041848000000002</v>
      </c>
      <c r="AM1519">
        <v>25</v>
      </c>
      <c r="AN1519">
        <v>1500</v>
      </c>
      <c r="AO1519" t="s">
        <v>118</v>
      </c>
      <c r="AP1519">
        <v>80</v>
      </c>
      <c r="AQ1519">
        <v>122</v>
      </c>
      <c r="AR1519">
        <v>-384</v>
      </c>
      <c r="AZ1519">
        <v>300</v>
      </c>
      <c r="BA1519">
        <v>1</v>
      </c>
      <c r="BB1519" t="str">
        <f t="shared" si="77"/>
        <v xml:space="preserve">N162AM  </v>
      </c>
      <c r="BC1519">
        <v>1</v>
      </c>
      <c r="BE1519">
        <v>0</v>
      </c>
      <c r="BF1519">
        <v>0</v>
      </c>
      <c r="BG1519">
        <v>0</v>
      </c>
      <c r="BH1519">
        <v>1775</v>
      </c>
      <c r="BI1519">
        <v>1</v>
      </c>
      <c r="BJ1519">
        <v>1</v>
      </c>
      <c r="BK1519">
        <v>1</v>
      </c>
      <c r="BL1519">
        <v>0</v>
      </c>
      <c r="BO1519">
        <v>0</v>
      </c>
      <c r="BP1519">
        <v>0</v>
      </c>
      <c r="BW1519" t="str">
        <f>"14:51:07.873"</f>
        <v>14:51:07.873</v>
      </c>
      <c r="CJ1519">
        <v>3</v>
      </c>
      <c r="CK1519">
        <v>2</v>
      </c>
      <c r="CL1519">
        <v>0</v>
      </c>
      <c r="CM1519">
        <v>2</v>
      </c>
      <c r="CN1519">
        <v>0</v>
      </c>
      <c r="CO1519">
        <v>6</v>
      </c>
      <c r="CP1519" t="s">
        <v>119</v>
      </c>
      <c r="CQ1519">
        <v>232</v>
      </c>
      <c r="CR1519">
        <v>2</v>
      </c>
      <c r="CW1519">
        <v>6806724</v>
      </c>
      <c r="CY1519">
        <v>1</v>
      </c>
      <c r="CZ1519">
        <v>0</v>
      </c>
      <c r="DA1519">
        <v>1</v>
      </c>
      <c r="DB1519">
        <v>0</v>
      </c>
      <c r="DC1519">
        <v>0</v>
      </c>
      <c r="DD1519">
        <v>1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>"12/16/2021 14:51:08.086"</f>
        <v>12/16/2021 14:51:08.086</v>
      </c>
      <c r="C1520" t="str">
        <f t="shared" si="76"/>
        <v>FFDFD3C0</v>
      </c>
      <c r="D1520" t="s">
        <v>124</v>
      </c>
      <c r="E1520">
        <v>10</v>
      </c>
      <c r="F1520">
        <v>1010</v>
      </c>
      <c r="G1520" t="s">
        <v>130</v>
      </c>
      <c r="J1520" t="s">
        <v>125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"14:51:07.867"</f>
        <v>14:51:07.867</v>
      </c>
      <c r="T1520" t="str">
        <f>"14:51:07.467"</f>
        <v>14:51:07.467</v>
      </c>
      <c r="U1520" t="str">
        <f t="shared" si="75"/>
        <v>A0F928</v>
      </c>
      <c r="V1520">
        <v>0</v>
      </c>
      <c r="W1520">
        <v>0</v>
      </c>
      <c r="X1520">
        <v>2</v>
      </c>
      <c r="Z1520">
        <v>0</v>
      </c>
      <c r="AA1520">
        <v>9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2</v>
      </c>
      <c r="AH1520">
        <v>1</v>
      </c>
      <c r="AI1520" t="s">
        <v>832</v>
      </c>
      <c r="AJ1520">
        <v>35.806202999999996</v>
      </c>
      <c r="AK1520" t="s">
        <v>833</v>
      </c>
      <c r="AL1520">
        <v>-84.041848000000002</v>
      </c>
      <c r="AM1520">
        <v>25</v>
      </c>
      <c r="AN1520">
        <v>1500</v>
      </c>
      <c r="AO1520" t="s">
        <v>118</v>
      </c>
      <c r="AP1520">
        <v>80</v>
      </c>
      <c r="AQ1520">
        <v>122</v>
      </c>
      <c r="AR1520">
        <v>-384</v>
      </c>
      <c r="AZ1520">
        <v>300</v>
      </c>
      <c r="BA1520">
        <v>1</v>
      </c>
      <c r="BB1520" t="str">
        <f t="shared" si="77"/>
        <v xml:space="preserve">N162AM  </v>
      </c>
      <c r="BC1520">
        <v>1</v>
      </c>
      <c r="BE1520">
        <v>0</v>
      </c>
      <c r="BF1520">
        <v>0</v>
      </c>
      <c r="BG1520">
        <v>0</v>
      </c>
      <c r="BH1520">
        <v>1775</v>
      </c>
      <c r="BI1520">
        <v>1</v>
      </c>
      <c r="BJ1520">
        <v>1</v>
      </c>
      <c r="BK1520">
        <v>1</v>
      </c>
      <c r="BL1520">
        <v>0</v>
      </c>
      <c r="BO1520">
        <v>0</v>
      </c>
      <c r="BP1520">
        <v>0</v>
      </c>
      <c r="BW1520" t="str">
        <f>"14:51:07.873"</f>
        <v>14:51:07.873</v>
      </c>
      <c r="CJ1520">
        <v>3</v>
      </c>
      <c r="CK1520">
        <v>2</v>
      </c>
      <c r="CL1520">
        <v>0</v>
      </c>
      <c r="CM1520">
        <v>2</v>
      </c>
      <c r="CN1520">
        <v>0</v>
      </c>
      <c r="CO1520">
        <v>6</v>
      </c>
      <c r="CP1520" t="s">
        <v>119</v>
      </c>
      <c r="CQ1520">
        <v>232</v>
      </c>
      <c r="CR1520">
        <v>2</v>
      </c>
      <c r="CW1520">
        <v>6806724</v>
      </c>
      <c r="CY1520">
        <v>1</v>
      </c>
      <c r="CZ1520">
        <v>0</v>
      </c>
      <c r="DA1520">
        <v>1</v>
      </c>
      <c r="DB1520">
        <v>0</v>
      </c>
      <c r="DC1520">
        <v>0</v>
      </c>
      <c r="DD1520">
        <v>1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>"12/16/2021 14:51:08.086"</f>
        <v>12/16/2021 14:51:08.086</v>
      </c>
      <c r="C1521" t="str">
        <f t="shared" si="76"/>
        <v>FFDFD3C0</v>
      </c>
      <c r="D1521" t="s">
        <v>113</v>
      </c>
      <c r="E1521">
        <v>8</v>
      </c>
      <c r="H1521">
        <v>176</v>
      </c>
      <c r="I1521" t="s">
        <v>114</v>
      </c>
      <c r="J1521" t="s">
        <v>115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>"14:51:07.867"</f>
        <v>14:51:07.867</v>
      </c>
      <c r="T1521" t="str">
        <f>"14:51:07.467"</f>
        <v>14:51:07.467</v>
      </c>
      <c r="U1521" t="str">
        <f t="shared" si="75"/>
        <v>A0F928</v>
      </c>
      <c r="V1521">
        <v>0</v>
      </c>
      <c r="W1521">
        <v>0</v>
      </c>
      <c r="X1521">
        <v>2</v>
      </c>
      <c r="Z1521">
        <v>0</v>
      </c>
      <c r="AA1521">
        <v>9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2</v>
      </c>
      <c r="AH1521">
        <v>1</v>
      </c>
      <c r="AI1521" t="s">
        <v>832</v>
      </c>
      <c r="AJ1521">
        <v>35.806202999999996</v>
      </c>
      <c r="AK1521" t="s">
        <v>833</v>
      </c>
      <c r="AL1521">
        <v>-84.041848000000002</v>
      </c>
      <c r="AM1521">
        <v>25</v>
      </c>
      <c r="AN1521">
        <v>1500</v>
      </c>
      <c r="AO1521" t="s">
        <v>118</v>
      </c>
      <c r="AP1521">
        <v>80</v>
      </c>
      <c r="AQ1521">
        <v>122</v>
      </c>
      <c r="AR1521">
        <v>-384</v>
      </c>
      <c r="AZ1521">
        <v>300</v>
      </c>
      <c r="BA1521">
        <v>1</v>
      </c>
      <c r="BB1521" t="str">
        <f t="shared" si="77"/>
        <v xml:space="preserve">N162AM  </v>
      </c>
      <c r="BC1521">
        <v>1</v>
      </c>
      <c r="BE1521">
        <v>0</v>
      </c>
      <c r="BF1521">
        <v>0</v>
      </c>
      <c r="BG1521">
        <v>0</v>
      </c>
      <c r="BH1521">
        <v>1775</v>
      </c>
      <c r="BI1521">
        <v>1</v>
      </c>
      <c r="BJ1521">
        <v>1</v>
      </c>
      <c r="BK1521">
        <v>1</v>
      </c>
      <c r="BL1521">
        <v>0</v>
      </c>
      <c r="BO1521">
        <v>0</v>
      </c>
      <c r="BP1521">
        <v>0</v>
      </c>
      <c r="BW1521" t="str">
        <f>"14:51:07.873"</f>
        <v>14:51:07.873</v>
      </c>
      <c r="CJ1521">
        <v>3</v>
      </c>
      <c r="CK1521">
        <v>2</v>
      </c>
      <c r="CL1521">
        <v>0</v>
      </c>
      <c r="CM1521">
        <v>2</v>
      </c>
      <c r="CN1521">
        <v>0</v>
      </c>
      <c r="CO1521">
        <v>6</v>
      </c>
      <c r="CP1521" t="s">
        <v>119</v>
      </c>
      <c r="CQ1521">
        <v>232</v>
      </c>
      <c r="CR1521">
        <v>2</v>
      </c>
      <c r="CW1521">
        <v>6806724</v>
      </c>
      <c r="CY1521">
        <v>1</v>
      </c>
      <c r="CZ1521">
        <v>0</v>
      </c>
      <c r="DA1521">
        <v>1</v>
      </c>
      <c r="DB1521">
        <v>0</v>
      </c>
      <c r="DC1521">
        <v>0</v>
      </c>
      <c r="DD1521">
        <v>1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>"12/16/2021 14:51:09.132"</f>
        <v>12/16/2021 14:51:09.132</v>
      </c>
      <c r="C1522" t="str">
        <f t="shared" si="76"/>
        <v>FFDFD3C0</v>
      </c>
      <c r="D1522" t="s">
        <v>113</v>
      </c>
      <c r="E1522">
        <v>8</v>
      </c>
      <c r="H1522">
        <v>176</v>
      </c>
      <c r="I1522" t="s">
        <v>114</v>
      </c>
      <c r="J1522" t="s">
        <v>115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>"14:51:08.906"</f>
        <v>14:51:08.906</v>
      </c>
      <c r="T1522" t="str">
        <f>"14:51:08.406"</f>
        <v>14:51:08.406</v>
      </c>
      <c r="U1522" t="str">
        <f t="shared" si="75"/>
        <v>A0F928</v>
      </c>
      <c r="V1522">
        <v>0</v>
      </c>
      <c r="W1522">
        <v>0</v>
      </c>
      <c r="X1522">
        <v>2</v>
      </c>
      <c r="Z1522">
        <v>0</v>
      </c>
      <c r="AA1522">
        <v>9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2</v>
      </c>
      <c r="AH1522">
        <v>1</v>
      </c>
      <c r="AI1522" t="s">
        <v>834</v>
      </c>
      <c r="AJ1522">
        <v>35.806717999999996</v>
      </c>
      <c r="AK1522" t="s">
        <v>835</v>
      </c>
      <c r="AL1522">
        <v>-84.041376</v>
      </c>
      <c r="AM1522">
        <v>25</v>
      </c>
      <c r="AN1522">
        <v>1500</v>
      </c>
      <c r="AO1522" t="s">
        <v>118</v>
      </c>
      <c r="AP1522">
        <v>85</v>
      </c>
      <c r="AQ1522">
        <v>118</v>
      </c>
      <c r="AR1522">
        <v>-320</v>
      </c>
      <c r="AZ1522">
        <v>300</v>
      </c>
      <c r="BA1522">
        <v>1</v>
      </c>
      <c r="BB1522" t="str">
        <f t="shared" si="77"/>
        <v xml:space="preserve">N162AM  </v>
      </c>
      <c r="BC1522">
        <v>1</v>
      </c>
      <c r="BE1522">
        <v>0</v>
      </c>
      <c r="BF1522">
        <v>0</v>
      </c>
      <c r="BG1522">
        <v>0</v>
      </c>
      <c r="BH1522">
        <v>1775</v>
      </c>
      <c r="BI1522">
        <v>1</v>
      </c>
      <c r="BJ1522">
        <v>1</v>
      </c>
      <c r="BK1522">
        <v>1</v>
      </c>
      <c r="BL1522">
        <v>0</v>
      </c>
      <c r="BO1522">
        <v>0</v>
      </c>
      <c r="BP1522">
        <v>0</v>
      </c>
      <c r="BW1522" t="str">
        <f>"14:51:08.909"</f>
        <v>14:51:08.909</v>
      </c>
      <c r="CJ1522">
        <v>3</v>
      </c>
      <c r="CK1522">
        <v>2</v>
      </c>
      <c r="CL1522">
        <v>0</v>
      </c>
      <c r="CM1522">
        <v>2</v>
      </c>
      <c r="CN1522">
        <v>0</v>
      </c>
      <c r="CO1522">
        <v>6</v>
      </c>
      <c r="CP1522" t="s">
        <v>119</v>
      </c>
      <c r="CQ1522">
        <v>232</v>
      </c>
      <c r="CR1522">
        <v>2</v>
      </c>
      <c r="CW1522">
        <v>6808264</v>
      </c>
      <c r="CY1522">
        <v>1</v>
      </c>
      <c r="CZ1522">
        <v>0</v>
      </c>
      <c r="DA1522">
        <v>0</v>
      </c>
      <c r="DB1522">
        <v>0</v>
      </c>
      <c r="DC1522">
        <v>0</v>
      </c>
      <c r="DD1522">
        <v>1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>"12/16/2021 14:51:09.148"</f>
        <v>12/16/2021 14:51:09.148</v>
      </c>
      <c r="C1523" t="str">
        <f t="shared" si="76"/>
        <v>FFDFD3C0</v>
      </c>
      <c r="D1523" t="s">
        <v>124</v>
      </c>
      <c r="E1523">
        <v>5</v>
      </c>
      <c r="F1523">
        <v>1005</v>
      </c>
      <c r="G1523" t="s">
        <v>114</v>
      </c>
      <c r="J1523" t="s">
        <v>125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>"14:51:08.906"</f>
        <v>14:51:08.906</v>
      </c>
      <c r="T1523" t="str">
        <f>"14:51:08.406"</f>
        <v>14:51:08.406</v>
      </c>
      <c r="U1523" t="str">
        <f t="shared" si="75"/>
        <v>A0F928</v>
      </c>
      <c r="V1523">
        <v>0</v>
      </c>
      <c r="W1523">
        <v>0</v>
      </c>
      <c r="X1523">
        <v>2</v>
      </c>
      <c r="Z1523">
        <v>0</v>
      </c>
      <c r="AA1523">
        <v>9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2</v>
      </c>
      <c r="AH1523">
        <v>1</v>
      </c>
      <c r="AI1523" t="s">
        <v>834</v>
      </c>
      <c r="AJ1523">
        <v>35.806717999999996</v>
      </c>
      <c r="AK1523" t="s">
        <v>835</v>
      </c>
      <c r="AL1523">
        <v>-84.041376</v>
      </c>
      <c r="AM1523">
        <v>25</v>
      </c>
      <c r="AN1523">
        <v>1500</v>
      </c>
      <c r="AO1523" t="s">
        <v>118</v>
      </c>
      <c r="AP1523">
        <v>85</v>
      </c>
      <c r="AQ1523">
        <v>118</v>
      </c>
      <c r="AR1523">
        <v>-320</v>
      </c>
      <c r="AZ1523">
        <v>300</v>
      </c>
      <c r="BA1523">
        <v>1</v>
      </c>
      <c r="BB1523" t="str">
        <f t="shared" si="77"/>
        <v xml:space="preserve">N162AM  </v>
      </c>
      <c r="BC1523">
        <v>1</v>
      </c>
      <c r="BE1523">
        <v>0</v>
      </c>
      <c r="BF1523">
        <v>0</v>
      </c>
      <c r="BG1523">
        <v>0</v>
      </c>
      <c r="BH1523">
        <v>1775</v>
      </c>
      <c r="BI1523">
        <v>1</v>
      </c>
      <c r="BJ1523">
        <v>1</v>
      </c>
      <c r="BK1523">
        <v>1</v>
      </c>
      <c r="BL1523">
        <v>0</v>
      </c>
      <c r="BO1523">
        <v>0</v>
      </c>
      <c r="BP1523">
        <v>0</v>
      </c>
      <c r="BW1523" t="str">
        <f>"14:51:08.909"</f>
        <v>14:51:08.909</v>
      </c>
      <c r="CJ1523">
        <v>3</v>
      </c>
      <c r="CK1523">
        <v>2</v>
      </c>
      <c r="CL1523">
        <v>0</v>
      </c>
      <c r="CM1523">
        <v>2</v>
      </c>
      <c r="CN1523">
        <v>0</v>
      </c>
      <c r="CO1523">
        <v>6</v>
      </c>
      <c r="CP1523" t="s">
        <v>119</v>
      </c>
      <c r="CQ1523">
        <v>232</v>
      </c>
      <c r="CR1523">
        <v>2</v>
      </c>
      <c r="CW1523">
        <v>6808264</v>
      </c>
      <c r="CY1523">
        <v>1</v>
      </c>
      <c r="CZ1523">
        <v>0</v>
      </c>
      <c r="DA1523">
        <v>1</v>
      </c>
      <c r="DB1523">
        <v>0</v>
      </c>
      <c r="DC1523">
        <v>0</v>
      </c>
      <c r="DD1523">
        <v>1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>"12/16/2021 14:51:09.164"</f>
        <v>12/16/2021 14:51:09.164</v>
      </c>
      <c r="C1524" t="str">
        <f t="shared" si="76"/>
        <v>FFDFD3C0</v>
      </c>
      <c r="D1524" t="s">
        <v>133</v>
      </c>
      <c r="E1524">
        <v>44</v>
      </c>
      <c r="H1524">
        <v>131</v>
      </c>
      <c r="I1524" t="s">
        <v>134</v>
      </c>
      <c r="J1524" t="s">
        <v>135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>"14:51:08.906"</f>
        <v>14:51:08.906</v>
      </c>
      <c r="T1524" t="str">
        <f>"14:51:08.406"</f>
        <v>14:51:08.406</v>
      </c>
      <c r="U1524" t="str">
        <f t="shared" si="75"/>
        <v>A0F928</v>
      </c>
      <c r="V1524">
        <v>0</v>
      </c>
      <c r="W1524">
        <v>0</v>
      </c>
      <c r="X1524">
        <v>2</v>
      </c>
      <c r="Z1524">
        <v>0</v>
      </c>
      <c r="AA1524">
        <v>9</v>
      </c>
      <c r="AB1524">
        <v>3</v>
      </c>
      <c r="AC1524">
        <v>0</v>
      </c>
      <c r="AD1524">
        <v>10</v>
      </c>
      <c r="AE1524">
        <v>0</v>
      </c>
      <c r="AF1524">
        <v>3</v>
      </c>
      <c r="AG1524">
        <v>2</v>
      </c>
      <c r="AH1524">
        <v>1</v>
      </c>
      <c r="AI1524" t="s">
        <v>834</v>
      </c>
      <c r="AJ1524">
        <v>35.806717999999996</v>
      </c>
      <c r="AK1524" t="s">
        <v>835</v>
      </c>
      <c r="AL1524">
        <v>-84.041376</v>
      </c>
      <c r="AM1524">
        <v>25</v>
      </c>
      <c r="AN1524">
        <v>1500</v>
      </c>
      <c r="AO1524" t="s">
        <v>118</v>
      </c>
      <c r="AP1524">
        <v>85</v>
      </c>
      <c r="AQ1524">
        <v>118</v>
      </c>
      <c r="AR1524">
        <v>-320</v>
      </c>
      <c r="AZ1524">
        <v>300</v>
      </c>
      <c r="BA1524">
        <v>1</v>
      </c>
      <c r="BB1524" t="str">
        <f t="shared" si="77"/>
        <v xml:space="preserve">N162AM  </v>
      </c>
      <c r="BC1524">
        <v>1</v>
      </c>
      <c r="BE1524">
        <v>0</v>
      </c>
      <c r="BF1524">
        <v>0</v>
      </c>
      <c r="BG1524">
        <v>0</v>
      </c>
      <c r="BH1524">
        <v>1775</v>
      </c>
      <c r="BI1524">
        <v>1</v>
      </c>
      <c r="BJ1524">
        <v>1</v>
      </c>
      <c r="BK1524">
        <v>1</v>
      </c>
      <c r="BL1524">
        <v>0</v>
      </c>
      <c r="BO1524">
        <v>0</v>
      </c>
      <c r="BP1524">
        <v>0</v>
      </c>
      <c r="BW1524" t="str">
        <f>"14:51:08.909"</f>
        <v>14:51:08.909</v>
      </c>
      <c r="CJ1524">
        <v>3</v>
      </c>
      <c r="CK1524">
        <v>2</v>
      </c>
      <c r="CL1524">
        <v>0</v>
      </c>
      <c r="CM1524">
        <v>2</v>
      </c>
      <c r="CN1524">
        <v>0</v>
      </c>
      <c r="CO1524">
        <v>6</v>
      </c>
      <c r="CP1524" t="s">
        <v>119</v>
      </c>
      <c r="CQ1524">
        <v>232</v>
      </c>
      <c r="CR1524">
        <v>2</v>
      </c>
      <c r="CW1524">
        <v>6808264</v>
      </c>
      <c r="CY1524">
        <v>1</v>
      </c>
      <c r="CZ1524">
        <v>0</v>
      </c>
      <c r="DA1524">
        <v>1</v>
      </c>
      <c r="DB1524">
        <v>0</v>
      </c>
      <c r="DC1524">
        <v>0</v>
      </c>
      <c r="DD1524">
        <v>1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>"12/16/2021 14:51:09.164"</f>
        <v>12/16/2021 14:51:09.164</v>
      </c>
      <c r="C1525" t="str">
        <f t="shared" si="76"/>
        <v>FFDFD3C0</v>
      </c>
      <c r="D1525" t="s">
        <v>124</v>
      </c>
      <c r="E1525">
        <v>10</v>
      </c>
      <c r="F1525">
        <v>1010</v>
      </c>
      <c r="G1525" t="s">
        <v>130</v>
      </c>
      <c r="J1525" t="s">
        <v>125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>"14:51:08.906"</f>
        <v>14:51:08.906</v>
      </c>
      <c r="T1525" t="str">
        <f>"14:51:08.406"</f>
        <v>14:51:08.406</v>
      </c>
      <c r="U1525" t="str">
        <f t="shared" si="75"/>
        <v>A0F928</v>
      </c>
      <c r="V1525">
        <v>0</v>
      </c>
      <c r="W1525">
        <v>0</v>
      </c>
      <c r="X1525">
        <v>2</v>
      </c>
      <c r="Z1525">
        <v>0</v>
      </c>
      <c r="AA1525">
        <v>9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2</v>
      </c>
      <c r="AH1525">
        <v>1</v>
      </c>
      <c r="AI1525" t="s">
        <v>834</v>
      </c>
      <c r="AJ1525">
        <v>35.806717999999996</v>
      </c>
      <c r="AK1525" t="s">
        <v>835</v>
      </c>
      <c r="AL1525">
        <v>-84.041376</v>
      </c>
      <c r="AM1525">
        <v>25</v>
      </c>
      <c r="AN1525">
        <v>1500</v>
      </c>
      <c r="AO1525" t="s">
        <v>118</v>
      </c>
      <c r="AP1525">
        <v>85</v>
      </c>
      <c r="AQ1525">
        <v>118</v>
      </c>
      <c r="AR1525">
        <v>-320</v>
      </c>
      <c r="AZ1525">
        <v>300</v>
      </c>
      <c r="BA1525">
        <v>1</v>
      </c>
      <c r="BB1525" t="str">
        <f t="shared" si="77"/>
        <v xml:space="preserve">N162AM  </v>
      </c>
      <c r="BC1525">
        <v>1</v>
      </c>
      <c r="BE1525">
        <v>0</v>
      </c>
      <c r="BF1525">
        <v>0</v>
      </c>
      <c r="BG1525">
        <v>0</v>
      </c>
      <c r="BH1525">
        <v>1775</v>
      </c>
      <c r="BI1525">
        <v>1</v>
      </c>
      <c r="BJ1525">
        <v>1</v>
      </c>
      <c r="BK1525">
        <v>1</v>
      </c>
      <c r="BL1525">
        <v>0</v>
      </c>
      <c r="BO1525">
        <v>0</v>
      </c>
      <c r="BP1525">
        <v>0</v>
      </c>
      <c r="BW1525" t="str">
        <f>"14:51:08.909"</f>
        <v>14:51:08.909</v>
      </c>
      <c r="CJ1525">
        <v>3</v>
      </c>
      <c r="CK1525">
        <v>2</v>
      </c>
      <c r="CL1525">
        <v>0</v>
      </c>
      <c r="CM1525">
        <v>2</v>
      </c>
      <c r="CN1525">
        <v>0</v>
      </c>
      <c r="CO1525">
        <v>6</v>
      </c>
      <c r="CP1525" t="s">
        <v>119</v>
      </c>
      <c r="CQ1525">
        <v>232</v>
      </c>
      <c r="CR1525">
        <v>2</v>
      </c>
      <c r="CW1525">
        <v>6808264</v>
      </c>
      <c r="CY1525">
        <v>1</v>
      </c>
      <c r="CZ1525">
        <v>0</v>
      </c>
      <c r="DA1525">
        <v>1</v>
      </c>
      <c r="DB1525">
        <v>0</v>
      </c>
      <c r="DC1525">
        <v>0</v>
      </c>
      <c r="DD1525">
        <v>1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>"12/16/2021 14:51:10.054"</f>
        <v>12/16/2021 14:51:10.054</v>
      </c>
      <c r="C1526" t="str">
        <f t="shared" si="76"/>
        <v>FFDFD3C0</v>
      </c>
      <c r="D1526" t="s">
        <v>124</v>
      </c>
      <c r="E1526">
        <v>5</v>
      </c>
      <c r="F1526">
        <v>1005</v>
      </c>
      <c r="G1526" t="s">
        <v>114</v>
      </c>
      <c r="J1526" t="s">
        <v>125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>"14:51:09.844"</f>
        <v>14:51:09.844</v>
      </c>
      <c r="T1526" t="str">
        <f>"14:51:09.544"</f>
        <v>14:51:09.544</v>
      </c>
      <c r="U1526" t="str">
        <f t="shared" si="75"/>
        <v>A0F928</v>
      </c>
      <c r="V1526">
        <v>0</v>
      </c>
      <c r="W1526">
        <v>0</v>
      </c>
      <c r="X1526">
        <v>2</v>
      </c>
      <c r="Z1526">
        <v>0</v>
      </c>
      <c r="AA1526">
        <v>9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2</v>
      </c>
      <c r="AH1526">
        <v>1</v>
      </c>
      <c r="AI1526" t="s">
        <v>836</v>
      </c>
      <c r="AJ1526">
        <v>35.807189999999999</v>
      </c>
      <c r="AK1526" t="s">
        <v>837</v>
      </c>
      <c r="AL1526">
        <v>-84.040882999999994</v>
      </c>
      <c r="AM1526">
        <v>25</v>
      </c>
      <c r="AN1526">
        <v>1500</v>
      </c>
      <c r="AO1526" t="s">
        <v>118</v>
      </c>
      <c r="AP1526">
        <v>91</v>
      </c>
      <c r="AQ1526">
        <v>114</v>
      </c>
      <c r="AR1526">
        <v>-320</v>
      </c>
      <c r="AZ1526">
        <v>300</v>
      </c>
      <c r="BA1526">
        <v>1</v>
      </c>
      <c r="BB1526" t="str">
        <f t="shared" si="77"/>
        <v xml:space="preserve">N162AM  </v>
      </c>
      <c r="BC1526">
        <v>1</v>
      </c>
      <c r="BE1526">
        <v>0</v>
      </c>
      <c r="BF1526">
        <v>0</v>
      </c>
      <c r="BG1526">
        <v>0</v>
      </c>
      <c r="BH1526">
        <v>1775</v>
      </c>
      <c r="BI1526">
        <v>1</v>
      </c>
      <c r="BJ1526">
        <v>1</v>
      </c>
      <c r="BK1526">
        <v>1</v>
      </c>
      <c r="BL1526">
        <v>0</v>
      </c>
      <c r="BO1526">
        <v>0</v>
      </c>
      <c r="BP1526">
        <v>0</v>
      </c>
      <c r="BW1526" t="str">
        <f>"14:51:09.846"</f>
        <v>14:51:09.846</v>
      </c>
      <c r="CJ1526">
        <v>3</v>
      </c>
      <c r="CK1526">
        <v>2</v>
      </c>
      <c r="CL1526">
        <v>0</v>
      </c>
      <c r="CM1526">
        <v>2</v>
      </c>
      <c r="CN1526">
        <v>0</v>
      </c>
      <c r="CO1526">
        <v>6</v>
      </c>
      <c r="CP1526" t="s">
        <v>119</v>
      </c>
      <c r="CQ1526">
        <v>232</v>
      </c>
      <c r="CR1526">
        <v>2</v>
      </c>
      <c r="CW1526">
        <v>6809654</v>
      </c>
      <c r="CY1526">
        <v>1</v>
      </c>
      <c r="CZ1526">
        <v>0</v>
      </c>
      <c r="DA1526">
        <v>0</v>
      </c>
      <c r="DB1526">
        <v>0</v>
      </c>
      <c r="DC1526">
        <v>0</v>
      </c>
      <c r="DD1526">
        <v>1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>"12/16/2021 14:51:10.070"</f>
        <v>12/16/2021 14:51:10.070</v>
      </c>
      <c r="C1527" t="str">
        <f t="shared" si="76"/>
        <v>FFDFD3C0</v>
      </c>
      <c r="D1527" t="s">
        <v>124</v>
      </c>
      <c r="E1527">
        <v>10</v>
      </c>
      <c r="F1527">
        <v>1010</v>
      </c>
      <c r="G1527" t="s">
        <v>130</v>
      </c>
      <c r="J1527" t="s">
        <v>125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>"14:51:09.844"</f>
        <v>14:51:09.844</v>
      </c>
      <c r="T1527" t="str">
        <f>"14:51:09.544"</f>
        <v>14:51:09.544</v>
      </c>
      <c r="U1527" t="str">
        <f t="shared" si="75"/>
        <v>A0F928</v>
      </c>
      <c r="V1527">
        <v>0</v>
      </c>
      <c r="W1527">
        <v>0</v>
      </c>
      <c r="X1527">
        <v>2</v>
      </c>
      <c r="Z1527">
        <v>0</v>
      </c>
      <c r="AA1527">
        <v>9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2</v>
      </c>
      <c r="AH1527">
        <v>1</v>
      </c>
      <c r="AI1527" t="s">
        <v>836</v>
      </c>
      <c r="AJ1527">
        <v>35.807189999999999</v>
      </c>
      <c r="AK1527" t="s">
        <v>837</v>
      </c>
      <c r="AL1527">
        <v>-84.040882999999994</v>
      </c>
      <c r="AM1527">
        <v>25</v>
      </c>
      <c r="AN1527">
        <v>1500</v>
      </c>
      <c r="AO1527" t="s">
        <v>118</v>
      </c>
      <c r="AP1527">
        <v>91</v>
      </c>
      <c r="AQ1527">
        <v>114</v>
      </c>
      <c r="AR1527">
        <v>-320</v>
      </c>
      <c r="AZ1527">
        <v>300</v>
      </c>
      <c r="BA1527">
        <v>1</v>
      </c>
      <c r="BB1527" t="str">
        <f t="shared" si="77"/>
        <v xml:space="preserve">N162AM  </v>
      </c>
      <c r="BC1527">
        <v>1</v>
      </c>
      <c r="BE1527">
        <v>0</v>
      </c>
      <c r="BF1527">
        <v>0</v>
      </c>
      <c r="BG1527">
        <v>0</v>
      </c>
      <c r="BH1527">
        <v>1775</v>
      </c>
      <c r="BI1527">
        <v>1</v>
      </c>
      <c r="BJ1527">
        <v>1</v>
      </c>
      <c r="BK1527">
        <v>1</v>
      </c>
      <c r="BL1527">
        <v>0</v>
      </c>
      <c r="BO1527">
        <v>0</v>
      </c>
      <c r="BP1527">
        <v>0</v>
      </c>
      <c r="BW1527" t="str">
        <f>"14:51:09.846"</f>
        <v>14:51:09.846</v>
      </c>
      <c r="CJ1527">
        <v>3</v>
      </c>
      <c r="CK1527">
        <v>2</v>
      </c>
      <c r="CL1527">
        <v>0</v>
      </c>
      <c r="CM1527">
        <v>2</v>
      </c>
      <c r="CN1527">
        <v>0</v>
      </c>
      <c r="CO1527">
        <v>6</v>
      </c>
      <c r="CP1527" t="s">
        <v>119</v>
      </c>
      <c r="CQ1527">
        <v>232</v>
      </c>
      <c r="CR1527">
        <v>2</v>
      </c>
      <c r="CW1527">
        <v>6809654</v>
      </c>
      <c r="CY1527">
        <v>1</v>
      </c>
      <c r="CZ1527">
        <v>0</v>
      </c>
      <c r="DA1527">
        <v>1</v>
      </c>
      <c r="DB1527">
        <v>0</v>
      </c>
      <c r="DC1527">
        <v>0</v>
      </c>
      <c r="DD1527">
        <v>1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>"12/16/2021 14:51:10.070"</f>
        <v>12/16/2021 14:51:10.070</v>
      </c>
      <c r="C1528" t="str">
        <f t="shared" si="76"/>
        <v>FFDFD3C0</v>
      </c>
      <c r="D1528" t="s">
        <v>133</v>
      </c>
      <c r="E1528">
        <v>44</v>
      </c>
      <c r="H1528">
        <v>131</v>
      </c>
      <c r="I1528" t="s">
        <v>134</v>
      </c>
      <c r="J1528" t="s">
        <v>135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>"14:51:09.844"</f>
        <v>14:51:09.844</v>
      </c>
      <c r="T1528" t="str">
        <f>"14:51:09.544"</f>
        <v>14:51:09.544</v>
      </c>
      <c r="U1528" t="str">
        <f t="shared" si="75"/>
        <v>A0F928</v>
      </c>
      <c r="V1528">
        <v>0</v>
      </c>
      <c r="W1528">
        <v>0</v>
      </c>
      <c r="X1528">
        <v>2</v>
      </c>
      <c r="Z1528">
        <v>0</v>
      </c>
      <c r="AA1528">
        <v>9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2</v>
      </c>
      <c r="AH1528">
        <v>1</v>
      </c>
      <c r="AI1528" t="s">
        <v>836</v>
      </c>
      <c r="AJ1528">
        <v>35.807189999999999</v>
      </c>
      <c r="AK1528" t="s">
        <v>837</v>
      </c>
      <c r="AL1528">
        <v>-84.040882999999994</v>
      </c>
      <c r="AM1528">
        <v>25</v>
      </c>
      <c r="AN1528">
        <v>1500</v>
      </c>
      <c r="AO1528" t="s">
        <v>118</v>
      </c>
      <c r="AP1528">
        <v>91</v>
      </c>
      <c r="AQ1528">
        <v>114</v>
      </c>
      <c r="AR1528">
        <v>-320</v>
      </c>
      <c r="AZ1528">
        <v>300</v>
      </c>
      <c r="BA1528">
        <v>1</v>
      </c>
      <c r="BB1528" t="str">
        <f t="shared" si="77"/>
        <v xml:space="preserve">N162AM  </v>
      </c>
      <c r="BC1528">
        <v>1</v>
      </c>
      <c r="BE1528">
        <v>0</v>
      </c>
      <c r="BF1528">
        <v>0</v>
      </c>
      <c r="BG1528">
        <v>0</v>
      </c>
      <c r="BH1528">
        <v>1775</v>
      </c>
      <c r="BI1528">
        <v>1</v>
      </c>
      <c r="BJ1528">
        <v>1</v>
      </c>
      <c r="BK1528">
        <v>1</v>
      </c>
      <c r="BL1528">
        <v>0</v>
      </c>
      <c r="BO1528">
        <v>0</v>
      </c>
      <c r="BP1528">
        <v>0</v>
      </c>
      <c r="BW1528" t="str">
        <f>"14:51:09.846"</f>
        <v>14:51:09.846</v>
      </c>
      <c r="CJ1528">
        <v>3</v>
      </c>
      <c r="CK1528">
        <v>2</v>
      </c>
      <c r="CL1528">
        <v>0</v>
      </c>
      <c r="CM1528">
        <v>2</v>
      </c>
      <c r="CN1528">
        <v>0</v>
      </c>
      <c r="CO1528">
        <v>6</v>
      </c>
      <c r="CP1528" t="s">
        <v>119</v>
      </c>
      <c r="CQ1528">
        <v>232</v>
      </c>
      <c r="CR1528">
        <v>2</v>
      </c>
      <c r="CW1528">
        <v>6809654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1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>"12/16/2021 14:51:10.101"</f>
        <v>12/16/2021 14:51:10.101</v>
      </c>
      <c r="C1529" t="str">
        <f t="shared" si="76"/>
        <v>FFDFD3C0</v>
      </c>
      <c r="D1529" t="s">
        <v>113</v>
      </c>
      <c r="E1529">
        <v>8</v>
      </c>
      <c r="H1529">
        <v>176</v>
      </c>
      <c r="I1529" t="s">
        <v>114</v>
      </c>
      <c r="J1529" t="s">
        <v>115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>"14:51:09.844"</f>
        <v>14:51:09.844</v>
      </c>
      <c r="T1529" t="str">
        <f>"14:51:09.544"</f>
        <v>14:51:09.544</v>
      </c>
      <c r="U1529" t="str">
        <f t="shared" si="75"/>
        <v>A0F928</v>
      </c>
      <c r="V1529">
        <v>0</v>
      </c>
      <c r="W1529">
        <v>0</v>
      </c>
      <c r="X1529">
        <v>2</v>
      </c>
      <c r="Z1529">
        <v>0</v>
      </c>
      <c r="AA1529">
        <v>9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2</v>
      </c>
      <c r="AH1529">
        <v>1</v>
      </c>
      <c r="AI1529" t="s">
        <v>836</v>
      </c>
      <c r="AJ1529">
        <v>35.807189999999999</v>
      </c>
      <c r="AK1529" t="s">
        <v>837</v>
      </c>
      <c r="AL1529">
        <v>-84.040882999999994</v>
      </c>
      <c r="AM1529">
        <v>25</v>
      </c>
      <c r="AN1529">
        <v>1500</v>
      </c>
      <c r="AO1529" t="s">
        <v>118</v>
      </c>
      <c r="AP1529">
        <v>91</v>
      </c>
      <c r="AQ1529">
        <v>114</v>
      </c>
      <c r="AR1529">
        <v>-320</v>
      </c>
      <c r="AZ1529">
        <v>300</v>
      </c>
      <c r="BA1529">
        <v>1</v>
      </c>
      <c r="BB1529" t="str">
        <f t="shared" si="77"/>
        <v xml:space="preserve">N162AM  </v>
      </c>
      <c r="BC1529">
        <v>1</v>
      </c>
      <c r="BE1529">
        <v>0</v>
      </c>
      <c r="BF1529">
        <v>0</v>
      </c>
      <c r="BG1529">
        <v>0</v>
      </c>
      <c r="BH1529">
        <v>1775</v>
      </c>
      <c r="BI1529">
        <v>1</v>
      </c>
      <c r="BJ1529">
        <v>1</v>
      </c>
      <c r="BK1529">
        <v>1</v>
      </c>
      <c r="BL1529">
        <v>0</v>
      </c>
      <c r="BO1529">
        <v>0</v>
      </c>
      <c r="BP1529">
        <v>0</v>
      </c>
      <c r="BW1529" t="str">
        <f>"14:51:09.846"</f>
        <v>14:51:09.846</v>
      </c>
      <c r="CJ1529">
        <v>3</v>
      </c>
      <c r="CK1529">
        <v>2</v>
      </c>
      <c r="CL1529">
        <v>0</v>
      </c>
      <c r="CM1529">
        <v>2</v>
      </c>
      <c r="CN1529">
        <v>0</v>
      </c>
      <c r="CO1529">
        <v>6</v>
      </c>
      <c r="CP1529" t="s">
        <v>119</v>
      </c>
      <c r="CQ1529">
        <v>232</v>
      </c>
      <c r="CR1529">
        <v>2</v>
      </c>
      <c r="CW1529">
        <v>6809654</v>
      </c>
      <c r="CY1529">
        <v>1</v>
      </c>
      <c r="CZ1529">
        <v>0</v>
      </c>
      <c r="DA1529">
        <v>1</v>
      </c>
      <c r="DB1529">
        <v>0</v>
      </c>
      <c r="DC1529">
        <v>0</v>
      </c>
      <c r="DD1529">
        <v>1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>"12/16/2021 14:51:11.007"</f>
        <v>12/16/2021 14:51:11.007</v>
      </c>
      <c r="C1530" t="str">
        <f t="shared" si="76"/>
        <v>FFDFD3C0</v>
      </c>
      <c r="D1530" t="s">
        <v>113</v>
      </c>
      <c r="E1530">
        <v>8</v>
      </c>
      <c r="H1530">
        <v>176</v>
      </c>
      <c r="I1530" t="s">
        <v>114</v>
      </c>
      <c r="J1530" t="s">
        <v>115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"14:51:10.805"</f>
        <v>14:51:10.805</v>
      </c>
      <c r="T1530" t="str">
        <f>"14:51:10.405"</f>
        <v>14:51:10.405</v>
      </c>
      <c r="U1530" t="str">
        <f t="shared" si="75"/>
        <v>A0F928</v>
      </c>
      <c r="V1530">
        <v>0</v>
      </c>
      <c r="W1530">
        <v>0</v>
      </c>
      <c r="X1530">
        <v>2</v>
      </c>
      <c r="Z1530">
        <v>0</v>
      </c>
      <c r="AA1530">
        <v>9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2</v>
      </c>
      <c r="AH1530">
        <v>1</v>
      </c>
      <c r="AI1530" t="s">
        <v>838</v>
      </c>
      <c r="AJ1530">
        <v>35.807747999999997</v>
      </c>
      <c r="AK1530" t="s">
        <v>839</v>
      </c>
      <c r="AL1530">
        <v>-84.040324999999996</v>
      </c>
      <c r="AM1530">
        <v>25</v>
      </c>
      <c r="AN1530">
        <v>1500</v>
      </c>
      <c r="AO1530" t="s">
        <v>118</v>
      </c>
      <c r="AP1530">
        <v>95</v>
      </c>
      <c r="AQ1530">
        <v>111</v>
      </c>
      <c r="AR1530">
        <v>-320</v>
      </c>
      <c r="AZ1530">
        <v>300</v>
      </c>
      <c r="BA1530">
        <v>1</v>
      </c>
      <c r="BB1530" t="str">
        <f t="shared" si="77"/>
        <v xml:space="preserve">N162AM  </v>
      </c>
      <c r="BC1530">
        <v>1</v>
      </c>
      <c r="BE1530">
        <v>0</v>
      </c>
      <c r="BF1530">
        <v>0</v>
      </c>
      <c r="BG1530">
        <v>0</v>
      </c>
      <c r="BH1530">
        <v>1750</v>
      </c>
      <c r="BI1530">
        <v>1</v>
      </c>
      <c r="BJ1530">
        <v>1</v>
      </c>
      <c r="BK1530">
        <v>1</v>
      </c>
      <c r="BL1530">
        <v>0</v>
      </c>
      <c r="BO1530">
        <v>0</v>
      </c>
      <c r="BP1530">
        <v>0</v>
      </c>
      <c r="BW1530" t="str">
        <f>"14:51:10.809"</f>
        <v>14:51:10.809</v>
      </c>
      <c r="CJ1530">
        <v>3</v>
      </c>
      <c r="CK1530">
        <v>2</v>
      </c>
      <c r="CL1530">
        <v>0</v>
      </c>
      <c r="CM1530">
        <v>2</v>
      </c>
      <c r="CN1530">
        <v>0</v>
      </c>
      <c r="CO1530">
        <v>5</v>
      </c>
      <c r="CP1530" t="s">
        <v>119</v>
      </c>
      <c r="CQ1530">
        <v>232</v>
      </c>
      <c r="CR1530">
        <v>1</v>
      </c>
      <c r="CW1530">
        <v>15607310</v>
      </c>
      <c r="CY1530">
        <v>1</v>
      </c>
      <c r="CZ1530">
        <v>0</v>
      </c>
      <c r="DA1530">
        <v>0</v>
      </c>
      <c r="DB1530">
        <v>0</v>
      </c>
      <c r="DC1530">
        <v>0</v>
      </c>
      <c r="DD1530">
        <v>1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>"12/16/2021 14:51:11.023"</f>
        <v>12/16/2021 14:51:11.023</v>
      </c>
      <c r="C1531" t="str">
        <f t="shared" si="76"/>
        <v>FFDFD3C0</v>
      </c>
      <c r="D1531" t="s">
        <v>124</v>
      </c>
      <c r="E1531">
        <v>10</v>
      </c>
      <c r="F1531">
        <v>1010</v>
      </c>
      <c r="G1531" t="s">
        <v>130</v>
      </c>
      <c r="J1531" t="s">
        <v>125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"14:51:10.805"</f>
        <v>14:51:10.805</v>
      </c>
      <c r="T1531" t="str">
        <f>"14:51:10.405"</f>
        <v>14:51:10.405</v>
      </c>
      <c r="U1531" t="str">
        <f t="shared" si="75"/>
        <v>A0F928</v>
      </c>
      <c r="V1531">
        <v>0</v>
      </c>
      <c r="W1531">
        <v>0</v>
      </c>
      <c r="X1531">
        <v>2</v>
      </c>
      <c r="Z1531">
        <v>0</v>
      </c>
      <c r="AA1531">
        <v>9</v>
      </c>
      <c r="AB1531">
        <v>3</v>
      </c>
      <c r="AC1531">
        <v>0</v>
      </c>
      <c r="AD1531">
        <v>10</v>
      </c>
      <c r="AE1531">
        <v>0</v>
      </c>
      <c r="AF1531">
        <v>3</v>
      </c>
      <c r="AG1531">
        <v>2</v>
      </c>
      <c r="AH1531">
        <v>1</v>
      </c>
      <c r="AI1531" t="s">
        <v>838</v>
      </c>
      <c r="AJ1531">
        <v>35.807747999999997</v>
      </c>
      <c r="AK1531" t="s">
        <v>839</v>
      </c>
      <c r="AL1531">
        <v>-84.040324999999996</v>
      </c>
      <c r="AM1531">
        <v>25</v>
      </c>
      <c r="AN1531">
        <v>1500</v>
      </c>
      <c r="AO1531" t="s">
        <v>118</v>
      </c>
      <c r="AP1531">
        <v>95</v>
      </c>
      <c r="AQ1531">
        <v>111</v>
      </c>
      <c r="AR1531">
        <v>-320</v>
      </c>
      <c r="AZ1531">
        <v>300</v>
      </c>
      <c r="BA1531">
        <v>1</v>
      </c>
      <c r="BB1531" t="str">
        <f t="shared" si="77"/>
        <v xml:space="preserve">N162AM  </v>
      </c>
      <c r="BC1531">
        <v>1</v>
      </c>
      <c r="BE1531">
        <v>0</v>
      </c>
      <c r="BF1531">
        <v>0</v>
      </c>
      <c r="BG1531">
        <v>0</v>
      </c>
      <c r="BH1531">
        <v>1750</v>
      </c>
      <c r="BI1531">
        <v>1</v>
      </c>
      <c r="BJ1531">
        <v>1</v>
      </c>
      <c r="BK1531">
        <v>1</v>
      </c>
      <c r="BL1531">
        <v>0</v>
      </c>
      <c r="BO1531">
        <v>0</v>
      </c>
      <c r="BP1531">
        <v>0</v>
      </c>
      <c r="BW1531" t="str">
        <f>"14:51:10.809"</f>
        <v>14:51:10.809</v>
      </c>
      <c r="CJ1531">
        <v>3</v>
      </c>
      <c r="CK1531">
        <v>2</v>
      </c>
      <c r="CL1531">
        <v>0</v>
      </c>
      <c r="CM1531">
        <v>2</v>
      </c>
      <c r="CN1531">
        <v>0</v>
      </c>
      <c r="CO1531">
        <v>5</v>
      </c>
      <c r="CP1531" t="s">
        <v>119</v>
      </c>
      <c r="CQ1531">
        <v>232</v>
      </c>
      <c r="CR1531">
        <v>1</v>
      </c>
      <c r="CW1531">
        <v>15607310</v>
      </c>
      <c r="CY1531">
        <v>1</v>
      </c>
      <c r="CZ1531">
        <v>0</v>
      </c>
      <c r="DA1531">
        <v>1</v>
      </c>
      <c r="DB1531">
        <v>0</v>
      </c>
      <c r="DC1531">
        <v>0</v>
      </c>
      <c r="DD1531">
        <v>1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>"12/16/2021 14:51:11.023"</f>
        <v>12/16/2021 14:51:11.023</v>
      </c>
      <c r="C1532" t="str">
        <f t="shared" si="76"/>
        <v>FFDFD3C0</v>
      </c>
      <c r="D1532" t="s">
        <v>124</v>
      </c>
      <c r="E1532">
        <v>5</v>
      </c>
      <c r="F1532">
        <v>1005</v>
      </c>
      <c r="G1532" t="s">
        <v>114</v>
      </c>
      <c r="J1532" t="s">
        <v>125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"14:51:10.805"</f>
        <v>14:51:10.805</v>
      </c>
      <c r="T1532" t="str">
        <f>"14:51:10.405"</f>
        <v>14:51:10.405</v>
      </c>
      <c r="U1532" t="str">
        <f t="shared" si="75"/>
        <v>A0F928</v>
      </c>
      <c r="V1532">
        <v>0</v>
      </c>
      <c r="W1532">
        <v>0</v>
      </c>
      <c r="X1532">
        <v>2</v>
      </c>
      <c r="Z1532">
        <v>0</v>
      </c>
      <c r="AA1532">
        <v>9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2</v>
      </c>
      <c r="AH1532">
        <v>1</v>
      </c>
      <c r="AI1532" t="s">
        <v>838</v>
      </c>
      <c r="AJ1532">
        <v>35.807747999999997</v>
      </c>
      <c r="AK1532" t="s">
        <v>839</v>
      </c>
      <c r="AL1532">
        <v>-84.040324999999996</v>
      </c>
      <c r="AM1532">
        <v>25</v>
      </c>
      <c r="AN1532">
        <v>1500</v>
      </c>
      <c r="AO1532" t="s">
        <v>118</v>
      </c>
      <c r="AP1532">
        <v>95</v>
      </c>
      <c r="AQ1532">
        <v>111</v>
      </c>
      <c r="AR1532">
        <v>-320</v>
      </c>
      <c r="AZ1532">
        <v>300</v>
      </c>
      <c r="BA1532">
        <v>1</v>
      </c>
      <c r="BB1532" t="str">
        <f t="shared" si="77"/>
        <v xml:space="preserve">N162AM  </v>
      </c>
      <c r="BC1532">
        <v>1</v>
      </c>
      <c r="BE1532">
        <v>0</v>
      </c>
      <c r="BF1532">
        <v>0</v>
      </c>
      <c r="BG1532">
        <v>0</v>
      </c>
      <c r="BH1532">
        <v>1750</v>
      </c>
      <c r="BI1532">
        <v>1</v>
      </c>
      <c r="BJ1532">
        <v>1</v>
      </c>
      <c r="BK1532">
        <v>1</v>
      </c>
      <c r="BL1532">
        <v>0</v>
      </c>
      <c r="BO1532">
        <v>0</v>
      </c>
      <c r="BP1532">
        <v>0</v>
      </c>
      <c r="BW1532" t="str">
        <f>"14:51:10.809"</f>
        <v>14:51:10.809</v>
      </c>
      <c r="CJ1532">
        <v>3</v>
      </c>
      <c r="CK1532">
        <v>2</v>
      </c>
      <c r="CL1532">
        <v>0</v>
      </c>
      <c r="CM1532">
        <v>2</v>
      </c>
      <c r="CN1532">
        <v>0</v>
      </c>
      <c r="CO1532">
        <v>5</v>
      </c>
      <c r="CP1532" t="s">
        <v>119</v>
      </c>
      <c r="CQ1532">
        <v>232</v>
      </c>
      <c r="CR1532">
        <v>1</v>
      </c>
      <c r="CW1532">
        <v>15607310</v>
      </c>
      <c r="CY1532">
        <v>1</v>
      </c>
      <c r="CZ1532">
        <v>0</v>
      </c>
      <c r="DA1532">
        <v>1</v>
      </c>
      <c r="DB1532">
        <v>0</v>
      </c>
      <c r="DC1532">
        <v>0</v>
      </c>
      <c r="DD1532">
        <v>1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>"12/16/2021 14:51:11.023"</f>
        <v>12/16/2021 14:51:11.023</v>
      </c>
      <c r="C1533" t="str">
        <f t="shared" si="76"/>
        <v>FFDFD3C0</v>
      </c>
      <c r="D1533" t="s">
        <v>133</v>
      </c>
      <c r="E1533">
        <v>44</v>
      </c>
      <c r="H1533">
        <v>131</v>
      </c>
      <c r="I1533" t="s">
        <v>134</v>
      </c>
      <c r="J1533" t="s">
        <v>135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"14:51:10.805"</f>
        <v>14:51:10.805</v>
      </c>
      <c r="T1533" t="str">
        <f>"14:51:10.405"</f>
        <v>14:51:10.405</v>
      </c>
      <c r="U1533" t="str">
        <f t="shared" si="75"/>
        <v>A0F928</v>
      </c>
      <c r="V1533">
        <v>0</v>
      </c>
      <c r="W1533">
        <v>0</v>
      </c>
      <c r="X1533">
        <v>2</v>
      </c>
      <c r="Z1533">
        <v>0</v>
      </c>
      <c r="AA1533">
        <v>9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2</v>
      </c>
      <c r="AH1533">
        <v>1</v>
      </c>
      <c r="AI1533" t="s">
        <v>838</v>
      </c>
      <c r="AJ1533">
        <v>35.807747999999997</v>
      </c>
      <c r="AK1533" t="s">
        <v>839</v>
      </c>
      <c r="AL1533">
        <v>-84.040324999999996</v>
      </c>
      <c r="AM1533">
        <v>25</v>
      </c>
      <c r="AN1533">
        <v>1500</v>
      </c>
      <c r="AO1533" t="s">
        <v>118</v>
      </c>
      <c r="AP1533">
        <v>95</v>
      </c>
      <c r="AQ1533">
        <v>111</v>
      </c>
      <c r="AR1533">
        <v>-320</v>
      </c>
      <c r="AZ1533">
        <v>300</v>
      </c>
      <c r="BA1533">
        <v>1</v>
      </c>
      <c r="BB1533" t="str">
        <f t="shared" si="77"/>
        <v xml:space="preserve">N162AM  </v>
      </c>
      <c r="BC1533">
        <v>1</v>
      </c>
      <c r="BE1533">
        <v>0</v>
      </c>
      <c r="BF1533">
        <v>0</v>
      </c>
      <c r="BG1533">
        <v>0</v>
      </c>
      <c r="BH1533">
        <v>1750</v>
      </c>
      <c r="BI1533">
        <v>1</v>
      </c>
      <c r="BJ1533">
        <v>1</v>
      </c>
      <c r="BK1533">
        <v>1</v>
      </c>
      <c r="BL1533">
        <v>0</v>
      </c>
      <c r="BO1533">
        <v>0</v>
      </c>
      <c r="BP1533">
        <v>0</v>
      </c>
      <c r="BW1533" t="str">
        <f>"14:51:10.809"</f>
        <v>14:51:10.809</v>
      </c>
      <c r="CJ1533">
        <v>3</v>
      </c>
      <c r="CK1533">
        <v>2</v>
      </c>
      <c r="CL1533">
        <v>0</v>
      </c>
      <c r="CM1533">
        <v>2</v>
      </c>
      <c r="CN1533">
        <v>0</v>
      </c>
      <c r="CO1533">
        <v>5</v>
      </c>
      <c r="CP1533" t="s">
        <v>119</v>
      </c>
      <c r="CQ1533">
        <v>232</v>
      </c>
      <c r="CR1533">
        <v>1</v>
      </c>
      <c r="CW1533">
        <v>15607310</v>
      </c>
      <c r="CY1533">
        <v>1</v>
      </c>
      <c r="CZ1533">
        <v>0</v>
      </c>
      <c r="DA1533">
        <v>1</v>
      </c>
      <c r="DB1533">
        <v>0</v>
      </c>
      <c r="DC1533">
        <v>0</v>
      </c>
      <c r="DD1533">
        <v>1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>"12/16/2021 14:51:11.914"</f>
        <v>12/16/2021 14:51:11.914</v>
      </c>
      <c r="C1534" t="str">
        <f t="shared" si="76"/>
        <v>FFDFD3C0</v>
      </c>
      <c r="D1534" t="s">
        <v>113</v>
      </c>
      <c r="E1534">
        <v>8</v>
      </c>
      <c r="H1534">
        <v>176</v>
      </c>
      <c r="I1534" t="s">
        <v>114</v>
      </c>
      <c r="J1534" t="s">
        <v>115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"14:51:11.727"</f>
        <v>14:51:11.727</v>
      </c>
      <c r="T1534" t="str">
        <f>"14:51:11.327"</f>
        <v>14:51:11.327</v>
      </c>
      <c r="U1534" t="str">
        <f t="shared" si="75"/>
        <v>A0F928</v>
      </c>
      <c r="V1534">
        <v>0</v>
      </c>
      <c r="W1534">
        <v>0</v>
      </c>
      <c r="X1534">
        <v>2</v>
      </c>
      <c r="Z1534">
        <v>0</v>
      </c>
      <c r="AA1534">
        <v>9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2</v>
      </c>
      <c r="AH1534">
        <v>1</v>
      </c>
      <c r="AI1534" t="s">
        <v>840</v>
      </c>
      <c r="AJ1534">
        <v>35.808177000000001</v>
      </c>
      <c r="AK1534" t="s">
        <v>841</v>
      </c>
      <c r="AL1534">
        <v>-84.039852999999994</v>
      </c>
      <c r="AM1534">
        <v>25</v>
      </c>
      <c r="AN1534">
        <v>1475</v>
      </c>
      <c r="AO1534" t="s">
        <v>118</v>
      </c>
      <c r="AP1534">
        <v>98</v>
      </c>
      <c r="AQ1534">
        <v>108</v>
      </c>
      <c r="AR1534">
        <v>-192</v>
      </c>
      <c r="AZ1534">
        <v>300</v>
      </c>
      <c r="BA1534">
        <v>1</v>
      </c>
      <c r="BB1534" t="str">
        <f t="shared" si="77"/>
        <v xml:space="preserve">N162AM  </v>
      </c>
      <c r="BC1534">
        <v>1</v>
      </c>
      <c r="BE1534">
        <v>0</v>
      </c>
      <c r="BF1534">
        <v>0</v>
      </c>
      <c r="BG1534">
        <v>0</v>
      </c>
      <c r="BH1534">
        <v>1750</v>
      </c>
      <c r="BI1534">
        <v>1</v>
      </c>
      <c r="BJ1534">
        <v>1</v>
      </c>
      <c r="BK1534">
        <v>1</v>
      </c>
      <c r="BL1534">
        <v>0</v>
      </c>
      <c r="BO1534">
        <v>0</v>
      </c>
      <c r="BP1534">
        <v>0</v>
      </c>
      <c r="BW1534" t="str">
        <f>"14:51:11.732"</f>
        <v>14:51:11.732</v>
      </c>
      <c r="CJ1534">
        <v>3</v>
      </c>
      <c r="CK1534">
        <v>2</v>
      </c>
      <c r="CL1534">
        <v>0</v>
      </c>
      <c r="CM1534">
        <v>2</v>
      </c>
      <c r="CN1534">
        <v>0</v>
      </c>
      <c r="CO1534">
        <v>5</v>
      </c>
      <c r="CP1534" t="s">
        <v>119</v>
      </c>
      <c r="CQ1534">
        <v>232</v>
      </c>
      <c r="CR1534">
        <v>1</v>
      </c>
      <c r="CW1534">
        <v>15608681</v>
      </c>
      <c r="CY1534">
        <v>1</v>
      </c>
      <c r="CZ1534">
        <v>0</v>
      </c>
      <c r="DA1534">
        <v>0</v>
      </c>
      <c r="DB1534">
        <v>0</v>
      </c>
      <c r="DC1534">
        <v>0</v>
      </c>
      <c r="DD1534">
        <v>1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>"12/16/2021 14:51:11.945"</f>
        <v>12/16/2021 14:51:11.945</v>
      </c>
      <c r="C1535" t="str">
        <f t="shared" si="76"/>
        <v>FFDFD3C0</v>
      </c>
      <c r="D1535" t="s">
        <v>124</v>
      </c>
      <c r="E1535">
        <v>10</v>
      </c>
      <c r="F1535">
        <v>1010</v>
      </c>
      <c r="G1535" t="s">
        <v>130</v>
      </c>
      <c r="J1535" t="s">
        <v>125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>"14:51:11.727"</f>
        <v>14:51:11.727</v>
      </c>
      <c r="T1535" t="str">
        <f>"14:51:11.327"</f>
        <v>14:51:11.327</v>
      </c>
      <c r="U1535" t="str">
        <f t="shared" si="75"/>
        <v>A0F928</v>
      </c>
      <c r="V1535">
        <v>0</v>
      </c>
      <c r="W1535">
        <v>0</v>
      </c>
      <c r="X1535">
        <v>2</v>
      </c>
      <c r="Z1535">
        <v>0</v>
      </c>
      <c r="AA1535">
        <v>9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2</v>
      </c>
      <c r="AH1535">
        <v>1</v>
      </c>
      <c r="AI1535" t="s">
        <v>840</v>
      </c>
      <c r="AJ1535">
        <v>35.808177000000001</v>
      </c>
      <c r="AK1535" t="s">
        <v>841</v>
      </c>
      <c r="AL1535">
        <v>-84.039852999999994</v>
      </c>
      <c r="AM1535">
        <v>25</v>
      </c>
      <c r="AN1535">
        <v>1475</v>
      </c>
      <c r="AO1535" t="s">
        <v>118</v>
      </c>
      <c r="AP1535">
        <v>98</v>
      </c>
      <c r="AQ1535">
        <v>108</v>
      </c>
      <c r="AR1535">
        <v>-192</v>
      </c>
      <c r="AZ1535">
        <v>300</v>
      </c>
      <c r="BA1535">
        <v>1</v>
      </c>
      <c r="BB1535" t="str">
        <f t="shared" si="77"/>
        <v xml:space="preserve">N162AM  </v>
      </c>
      <c r="BC1535">
        <v>1</v>
      </c>
      <c r="BE1535">
        <v>0</v>
      </c>
      <c r="BF1535">
        <v>0</v>
      </c>
      <c r="BG1535">
        <v>0</v>
      </c>
      <c r="BH1535">
        <v>1750</v>
      </c>
      <c r="BI1535">
        <v>1</v>
      </c>
      <c r="BJ1535">
        <v>1</v>
      </c>
      <c r="BK1535">
        <v>1</v>
      </c>
      <c r="BL1535">
        <v>0</v>
      </c>
      <c r="BO1535">
        <v>0</v>
      </c>
      <c r="BP1535">
        <v>0</v>
      </c>
      <c r="BW1535" t="str">
        <f>"14:51:11.732"</f>
        <v>14:51:11.732</v>
      </c>
      <c r="CJ1535">
        <v>3</v>
      </c>
      <c r="CK1535">
        <v>2</v>
      </c>
      <c r="CL1535">
        <v>0</v>
      </c>
      <c r="CM1535">
        <v>2</v>
      </c>
      <c r="CN1535">
        <v>0</v>
      </c>
      <c r="CO1535">
        <v>5</v>
      </c>
      <c r="CP1535" t="s">
        <v>119</v>
      </c>
      <c r="CQ1535">
        <v>232</v>
      </c>
      <c r="CR1535">
        <v>1</v>
      </c>
      <c r="CW1535">
        <v>15608681</v>
      </c>
      <c r="CY1535">
        <v>1</v>
      </c>
      <c r="CZ1535">
        <v>0</v>
      </c>
      <c r="DA1535">
        <v>1</v>
      </c>
      <c r="DB1535">
        <v>0</v>
      </c>
      <c r="DC1535">
        <v>0</v>
      </c>
      <c r="DD1535">
        <v>1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>"12/16/2021 14:51:11.961"</f>
        <v>12/16/2021 14:51:11.961</v>
      </c>
      <c r="C1536" t="str">
        <f t="shared" si="76"/>
        <v>FFDFD3C0</v>
      </c>
      <c r="D1536" t="s">
        <v>124</v>
      </c>
      <c r="E1536">
        <v>5</v>
      </c>
      <c r="F1536">
        <v>1005</v>
      </c>
      <c r="G1536" t="s">
        <v>114</v>
      </c>
      <c r="J1536" t="s">
        <v>125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>"14:51:11.727"</f>
        <v>14:51:11.727</v>
      </c>
      <c r="T1536" t="str">
        <f>"14:51:11.327"</f>
        <v>14:51:11.327</v>
      </c>
      <c r="U1536" t="str">
        <f t="shared" si="75"/>
        <v>A0F928</v>
      </c>
      <c r="V1536">
        <v>0</v>
      </c>
      <c r="W1536">
        <v>0</v>
      </c>
      <c r="X1536">
        <v>2</v>
      </c>
      <c r="Z1536">
        <v>0</v>
      </c>
      <c r="AA1536">
        <v>9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2</v>
      </c>
      <c r="AH1536">
        <v>1</v>
      </c>
      <c r="AI1536" t="s">
        <v>840</v>
      </c>
      <c r="AJ1536">
        <v>35.808177000000001</v>
      </c>
      <c r="AK1536" t="s">
        <v>841</v>
      </c>
      <c r="AL1536">
        <v>-84.039852999999994</v>
      </c>
      <c r="AM1536">
        <v>25</v>
      </c>
      <c r="AN1536">
        <v>1475</v>
      </c>
      <c r="AO1536" t="s">
        <v>118</v>
      </c>
      <c r="AP1536">
        <v>98</v>
      </c>
      <c r="AQ1536">
        <v>108</v>
      </c>
      <c r="AR1536">
        <v>-192</v>
      </c>
      <c r="AZ1536">
        <v>300</v>
      </c>
      <c r="BA1536">
        <v>1</v>
      </c>
      <c r="BB1536" t="str">
        <f t="shared" si="77"/>
        <v xml:space="preserve">N162AM  </v>
      </c>
      <c r="BC1536">
        <v>1</v>
      </c>
      <c r="BE1536">
        <v>0</v>
      </c>
      <c r="BF1536">
        <v>0</v>
      </c>
      <c r="BG1536">
        <v>0</v>
      </c>
      <c r="BH1536">
        <v>1750</v>
      </c>
      <c r="BI1536">
        <v>1</v>
      </c>
      <c r="BJ1536">
        <v>1</v>
      </c>
      <c r="BK1536">
        <v>1</v>
      </c>
      <c r="BL1536">
        <v>0</v>
      </c>
      <c r="BO1536">
        <v>0</v>
      </c>
      <c r="BP1536">
        <v>0</v>
      </c>
      <c r="BW1536" t="str">
        <f>"14:51:11.732"</f>
        <v>14:51:11.732</v>
      </c>
      <c r="CJ1536">
        <v>3</v>
      </c>
      <c r="CK1536">
        <v>2</v>
      </c>
      <c r="CL1536">
        <v>0</v>
      </c>
      <c r="CM1536">
        <v>2</v>
      </c>
      <c r="CN1536">
        <v>0</v>
      </c>
      <c r="CO1536">
        <v>5</v>
      </c>
      <c r="CP1536" t="s">
        <v>119</v>
      </c>
      <c r="CQ1536">
        <v>232</v>
      </c>
      <c r="CR1536">
        <v>1</v>
      </c>
      <c r="CW1536">
        <v>15608681</v>
      </c>
      <c r="CY1536">
        <v>1</v>
      </c>
      <c r="CZ1536">
        <v>0</v>
      </c>
      <c r="DA1536">
        <v>1</v>
      </c>
      <c r="DB1536">
        <v>0</v>
      </c>
      <c r="DC1536">
        <v>0</v>
      </c>
      <c r="DD1536">
        <v>1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>"12/16/2021 14:51:11.961"</f>
        <v>12/16/2021 14:51:11.961</v>
      </c>
      <c r="C1537" t="str">
        <f t="shared" si="76"/>
        <v>FFDFD3C0</v>
      </c>
      <c r="D1537" t="s">
        <v>133</v>
      </c>
      <c r="E1537">
        <v>44</v>
      </c>
      <c r="H1537">
        <v>131</v>
      </c>
      <c r="I1537" t="s">
        <v>134</v>
      </c>
      <c r="J1537" t="s">
        <v>135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>"14:51:11.727"</f>
        <v>14:51:11.727</v>
      </c>
      <c r="T1537" t="str">
        <f>"14:51:11.327"</f>
        <v>14:51:11.327</v>
      </c>
      <c r="U1537" t="str">
        <f t="shared" si="75"/>
        <v>A0F928</v>
      </c>
      <c r="V1537">
        <v>0</v>
      </c>
      <c r="W1537">
        <v>0</v>
      </c>
      <c r="X1537">
        <v>2</v>
      </c>
      <c r="Z1537">
        <v>0</v>
      </c>
      <c r="AA1537">
        <v>9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2</v>
      </c>
      <c r="AH1537">
        <v>1</v>
      </c>
      <c r="AI1537" t="s">
        <v>840</v>
      </c>
      <c r="AJ1537">
        <v>35.808177000000001</v>
      </c>
      <c r="AK1537" t="s">
        <v>841</v>
      </c>
      <c r="AL1537">
        <v>-84.039852999999994</v>
      </c>
      <c r="AM1537">
        <v>25</v>
      </c>
      <c r="AN1537">
        <v>1475</v>
      </c>
      <c r="AO1537" t="s">
        <v>118</v>
      </c>
      <c r="AP1537">
        <v>98</v>
      </c>
      <c r="AQ1537">
        <v>108</v>
      </c>
      <c r="AR1537">
        <v>-192</v>
      </c>
      <c r="AZ1537">
        <v>300</v>
      </c>
      <c r="BA1537">
        <v>1</v>
      </c>
      <c r="BB1537" t="str">
        <f t="shared" si="77"/>
        <v xml:space="preserve">N162AM  </v>
      </c>
      <c r="BC1537">
        <v>1</v>
      </c>
      <c r="BE1537">
        <v>0</v>
      </c>
      <c r="BF1537">
        <v>0</v>
      </c>
      <c r="BG1537">
        <v>0</v>
      </c>
      <c r="BH1537">
        <v>1750</v>
      </c>
      <c r="BI1537">
        <v>1</v>
      </c>
      <c r="BJ1537">
        <v>1</v>
      </c>
      <c r="BK1537">
        <v>1</v>
      </c>
      <c r="BL1537">
        <v>0</v>
      </c>
      <c r="BO1537">
        <v>0</v>
      </c>
      <c r="BP1537">
        <v>0</v>
      </c>
      <c r="BW1537" t="str">
        <f>"14:51:11.732"</f>
        <v>14:51:11.732</v>
      </c>
      <c r="CJ1537">
        <v>3</v>
      </c>
      <c r="CK1537">
        <v>2</v>
      </c>
      <c r="CL1537">
        <v>0</v>
      </c>
      <c r="CM1537">
        <v>2</v>
      </c>
      <c r="CN1537">
        <v>0</v>
      </c>
      <c r="CO1537">
        <v>5</v>
      </c>
      <c r="CP1537" t="s">
        <v>119</v>
      </c>
      <c r="CQ1537">
        <v>232</v>
      </c>
      <c r="CR1537">
        <v>1</v>
      </c>
      <c r="CW1537">
        <v>15608681</v>
      </c>
      <c r="CY1537">
        <v>1</v>
      </c>
      <c r="CZ1537">
        <v>0</v>
      </c>
      <c r="DA1537">
        <v>1</v>
      </c>
      <c r="DB1537">
        <v>0</v>
      </c>
      <c r="DC1537">
        <v>0</v>
      </c>
      <c r="DD1537">
        <v>1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>"12/16/2021 14:51:12.867"</f>
        <v>12/16/2021 14:51:12.867</v>
      </c>
      <c r="C1538" t="str">
        <f t="shared" si="76"/>
        <v>FFDFD3C0</v>
      </c>
      <c r="D1538" t="s">
        <v>113</v>
      </c>
      <c r="E1538">
        <v>8</v>
      </c>
      <c r="H1538">
        <v>176</v>
      </c>
      <c r="I1538" t="s">
        <v>114</v>
      </c>
      <c r="J1538" t="s">
        <v>115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>"14:51:12.680"</f>
        <v>14:51:12.680</v>
      </c>
      <c r="T1538" t="str">
        <f>"14:51:12.280"</f>
        <v>14:51:12.280</v>
      </c>
      <c r="U1538" t="str">
        <f t="shared" ref="U1538:U1601" si="78">"A0F928"</f>
        <v>A0F928</v>
      </c>
      <c r="V1538">
        <v>0</v>
      </c>
      <c r="W1538">
        <v>0</v>
      </c>
      <c r="X1538">
        <v>2</v>
      </c>
      <c r="Z1538">
        <v>0</v>
      </c>
      <c r="AA1538">
        <v>9</v>
      </c>
      <c r="AB1538">
        <v>3</v>
      </c>
      <c r="AC1538">
        <v>0</v>
      </c>
      <c r="AD1538">
        <v>10</v>
      </c>
      <c r="AE1538">
        <v>0</v>
      </c>
      <c r="AF1538">
        <v>3</v>
      </c>
      <c r="AG1538">
        <v>2</v>
      </c>
      <c r="AH1538">
        <v>1</v>
      </c>
      <c r="AI1538" t="s">
        <v>842</v>
      </c>
      <c r="AJ1538">
        <v>35.808670999999997</v>
      </c>
      <c r="AK1538" t="s">
        <v>843</v>
      </c>
      <c r="AL1538">
        <v>-84.039272999999994</v>
      </c>
      <c r="AM1538">
        <v>25</v>
      </c>
      <c r="AN1538">
        <v>1475</v>
      </c>
      <c r="AO1538" t="s">
        <v>118</v>
      </c>
      <c r="AP1538">
        <v>99</v>
      </c>
      <c r="AQ1538">
        <v>107</v>
      </c>
      <c r="AR1538">
        <v>-128</v>
      </c>
      <c r="AZ1538">
        <v>300</v>
      </c>
      <c r="BA1538">
        <v>1</v>
      </c>
      <c r="BB1538" t="str">
        <f t="shared" si="77"/>
        <v xml:space="preserve">N162AM  </v>
      </c>
      <c r="BC1538">
        <v>1</v>
      </c>
      <c r="BE1538">
        <v>0</v>
      </c>
      <c r="BF1538">
        <v>0</v>
      </c>
      <c r="BG1538">
        <v>0</v>
      </c>
      <c r="BH1538">
        <v>1750</v>
      </c>
      <c r="BI1538">
        <v>1</v>
      </c>
      <c r="BJ1538">
        <v>1</v>
      </c>
      <c r="BK1538">
        <v>1</v>
      </c>
      <c r="BL1538">
        <v>0</v>
      </c>
      <c r="BO1538">
        <v>0</v>
      </c>
      <c r="BP1538">
        <v>0</v>
      </c>
      <c r="BW1538" t="str">
        <f>"14:51:12.680"</f>
        <v>14:51:12.680</v>
      </c>
      <c r="CJ1538">
        <v>3</v>
      </c>
      <c r="CK1538">
        <v>2</v>
      </c>
      <c r="CL1538">
        <v>0</v>
      </c>
      <c r="CM1538">
        <v>2</v>
      </c>
      <c r="CN1538">
        <v>0</v>
      </c>
      <c r="CO1538">
        <v>6</v>
      </c>
      <c r="CP1538" t="s">
        <v>119</v>
      </c>
      <c r="CQ1538">
        <v>232</v>
      </c>
      <c r="CR1538">
        <v>2</v>
      </c>
      <c r="CW1538">
        <v>6814020</v>
      </c>
      <c r="CY1538">
        <v>1</v>
      </c>
      <c r="CZ1538">
        <v>0</v>
      </c>
      <c r="DA1538">
        <v>0</v>
      </c>
      <c r="DB1538">
        <v>0</v>
      </c>
      <c r="DC1538">
        <v>0</v>
      </c>
      <c r="DD1538">
        <v>1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>"12/16/2021 14:51:12.898"</f>
        <v>12/16/2021 14:51:12.898</v>
      </c>
      <c r="C1539" t="str">
        <f t="shared" si="76"/>
        <v>FFDFD3C0</v>
      </c>
      <c r="D1539" t="s">
        <v>124</v>
      </c>
      <c r="E1539">
        <v>10</v>
      </c>
      <c r="F1539">
        <v>1010</v>
      </c>
      <c r="G1539" t="s">
        <v>130</v>
      </c>
      <c r="J1539" t="s">
        <v>125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"14:51:12.680"</f>
        <v>14:51:12.680</v>
      </c>
      <c r="T1539" t="str">
        <f>"14:51:12.280"</f>
        <v>14:51:12.280</v>
      </c>
      <c r="U1539" t="str">
        <f t="shared" si="78"/>
        <v>A0F928</v>
      </c>
      <c r="V1539">
        <v>0</v>
      </c>
      <c r="W1539">
        <v>0</v>
      </c>
      <c r="X1539">
        <v>2</v>
      </c>
      <c r="Z1539">
        <v>0</v>
      </c>
      <c r="AA1539">
        <v>9</v>
      </c>
      <c r="AB1539">
        <v>3</v>
      </c>
      <c r="AC1539">
        <v>0</v>
      </c>
      <c r="AD1539">
        <v>10</v>
      </c>
      <c r="AE1539">
        <v>0</v>
      </c>
      <c r="AF1539">
        <v>3</v>
      </c>
      <c r="AG1539">
        <v>2</v>
      </c>
      <c r="AH1539">
        <v>1</v>
      </c>
      <c r="AI1539" t="s">
        <v>842</v>
      </c>
      <c r="AJ1539">
        <v>35.808670999999997</v>
      </c>
      <c r="AK1539" t="s">
        <v>843</v>
      </c>
      <c r="AL1539">
        <v>-84.039272999999994</v>
      </c>
      <c r="AM1539">
        <v>25</v>
      </c>
      <c r="AN1539">
        <v>1475</v>
      </c>
      <c r="AO1539" t="s">
        <v>118</v>
      </c>
      <c r="AP1539">
        <v>99</v>
      </c>
      <c r="AQ1539">
        <v>107</v>
      </c>
      <c r="AR1539">
        <v>-128</v>
      </c>
      <c r="AZ1539">
        <v>300</v>
      </c>
      <c r="BA1539">
        <v>1</v>
      </c>
      <c r="BB1539" t="str">
        <f t="shared" si="77"/>
        <v xml:space="preserve">N162AM  </v>
      </c>
      <c r="BC1539">
        <v>1</v>
      </c>
      <c r="BE1539">
        <v>0</v>
      </c>
      <c r="BF1539">
        <v>0</v>
      </c>
      <c r="BG1539">
        <v>0</v>
      </c>
      <c r="BH1539">
        <v>1750</v>
      </c>
      <c r="BI1539">
        <v>1</v>
      </c>
      <c r="BJ1539">
        <v>1</v>
      </c>
      <c r="BK1539">
        <v>1</v>
      </c>
      <c r="BL1539">
        <v>0</v>
      </c>
      <c r="BO1539">
        <v>0</v>
      </c>
      <c r="BP1539">
        <v>0</v>
      </c>
      <c r="BW1539" t="str">
        <f>"14:51:12.680"</f>
        <v>14:51:12.680</v>
      </c>
      <c r="CJ1539">
        <v>3</v>
      </c>
      <c r="CK1539">
        <v>2</v>
      </c>
      <c r="CL1539">
        <v>0</v>
      </c>
      <c r="CM1539">
        <v>2</v>
      </c>
      <c r="CN1539">
        <v>0</v>
      </c>
      <c r="CO1539">
        <v>6</v>
      </c>
      <c r="CP1539" t="s">
        <v>119</v>
      </c>
      <c r="CQ1539">
        <v>232</v>
      </c>
      <c r="CR1539">
        <v>2</v>
      </c>
      <c r="CW1539">
        <v>6814020</v>
      </c>
      <c r="CY1539">
        <v>1</v>
      </c>
      <c r="CZ1539">
        <v>0</v>
      </c>
      <c r="DA1539">
        <v>1</v>
      </c>
      <c r="DB1539">
        <v>0</v>
      </c>
      <c r="DC1539">
        <v>0</v>
      </c>
      <c r="DD1539">
        <v>1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>"12/16/2021 14:51:12.898"</f>
        <v>12/16/2021 14:51:12.898</v>
      </c>
      <c r="C1540" t="str">
        <f t="shared" si="76"/>
        <v>FFDFD3C0</v>
      </c>
      <c r="D1540" t="s">
        <v>124</v>
      </c>
      <c r="E1540">
        <v>5</v>
      </c>
      <c r="F1540">
        <v>1005</v>
      </c>
      <c r="G1540" t="s">
        <v>114</v>
      </c>
      <c r="J1540" t="s">
        <v>125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"14:51:12.680"</f>
        <v>14:51:12.680</v>
      </c>
      <c r="T1540" t="str">
        <f>"14:51:12.280"</f>
        <v>14:51:12.280</v>
      </c>
      <c r="U1540" t="str">
        <f t="shared" si="78"/>
        <v>A0F928</v>
      </c>
      <c r="V1540">
        <v>0</v>
      </c>
      <c r="W1540">
        <v>0</v>
      </c>
      <c r="X1540">
        <v>2</v>
      </c>
      <c r="Z1540">
        <v>0</v>
      </c>
      <c r="AA1540">
        <v>9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2</v>
      </c>
      <c r="AH1540">
        <v>1</v>
      </c>
      <c r="AI1540" t="s">
        <v>842</v>
      </c>
      <c r="AJ1540">
        <v>35.808670999999997</v>
      </c>
      <c r="AK1540" t="s">
        <v>843</v>
      </c>
      <c r="AL1540">
        <v>-84.039272999999994</v>
      </c>
      <c r="AM1540">
        <v>25</v>
      </c>
      <c r="AN1540">
        <v>1475</v>
      </c>
      <c r="AO1540" t="s">
        <v>118</v>
      </c>
      <c r="AP1540">
        <v>99</v>
      </c>
      <c r="AQ1540">
        <v>107</v>
      </c>
      <c r="AR1540">
        <v>-128</v>
      </c>
      <c r="AZ1540">
        <v>300</v>
      </c>
      <c r="BA1540">
        <v>1</v>
      </c>
      <c r="BB1540" t="str">
        <f t="shared" si="77"/>
        <v xml:space="preserve">N162AM  </v>
      </c>
      <c r="BC1540">
        <v>1</v>
      </c>
      <c r="BE1540">
        <v>0</v>
      </c>
      <c r="BF1540">
        <v>0</v>
      </c>
      <c r="BG1540">
        <v>0</v>
      </c>
      <c r="BH1540">
        <v>1750</v>
      </c>
      <c r="BI1540">
        <v>1</v>
      </c>
      <c r="BJ1540">
        <v>1</v>
      </c>
      <c r="BK1540">
        <v>1</v>
      </c>
      <c r="BL1540">
        <v>0</v>
      </c>
      <c r="BO1540">
        <v>0</v>
      </c>
      <c r="BP1540">
        <v>0</v>
      </c>
      <c r="BW1540" t="str">
        <f>"14:51:12.680"</f>
        <v>14:51:12.680</v>
      </c>
      <c r="CJ1540">
        <v>3</v>
      </c>
      <c r="CK1540">
        <v>2</v>
      </c>
      <c r="CL1540">
        <v>0</v>
      </c>
      <c r="CM1540">
        <v>2</v>
      </c>
      <c r="CN1540">
        <v>0</v>
      </c>
      <c r="CO1540">
        <v>6</v>
      </c>
      <c r="CP1540" t="s">
        <v>119</v>
      </c>
      <c r="CQ1540">
        <v>232</v>
      </c>
      <c r="CR1540">
        <v>2</v>
      </c>
      <c r="CW1540">
        <v>6814020</v>
      </c>
      <c r="CY1540">
        <v>1</v>
      </c>
      <c r="CZ1540">
        <v>0</v>
      </c>
      <c r="DA1540">
        <v>1</v>
      </c>
      <c r="DB1540">
        <v>0</v>
      </c>
      <c r="DC1540">
        <v>0</v>
      </c>
      <c r="DD1540">
        <v>1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>"12/16/2021 14:51:12.898"</f>
        <v>12/16/2021 14:51:12.898</v>
      </c>
      <c r="C1541" t="str">
        <f t="shared" si="76"/>
        <v>FFDFD3C0</v>
      </c>
      <c r="D1541" t="s">
        <v>133</v>
      </c>
      <c r="E1541">
        <v>44</v>
      </c>
      <c r="H1541">
        <v>131</v>
      </c>
      <c r="I1541" t="s">
        <v>134</v>
      </c>
      <c r="J1541" t="s">
        <v>135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"14:51:12.680"</f>
        <v>14:51:12.680</v>
      </c>
      <c r="T1541" t="str">
        <f>"14:51:12.280"</f>
        <v>14:51:12.280</v>
      </c>
      <c r="U1541" t="str">
        <f t="shared" si="78"/>
        <v>A0F928</v>
      </c>
      <c r="V1541">
        <v>0</v>
      </c>
      <c r="W1541">
        <v>0</v>
      </c>
      <c r="X1541">
        <v>2</v>
      </c>
      <c r="Z1541">
        <v>0</v>
      </c>
      <c r="AA1541">
        <v>9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2</v>
      </c>
      <c r="AH1541">
        <v>1</v>
      </c>
      <c r="AI1541" t="s">
        <v>842</v>
      </c>
      <c r="AJ1541">
        <v>35.808670999999997</v>
      </c>
      <c r="AK1541" t="s">
        <v>843</v>
      </c>
      <c r="AL1541">
        <v>-84.039272999999994</v>
      </c>
      <c r="AM1541">
        <v>25</v>
      </c>
      <c r="AN1541">
        <v>1475</v>
      </c>
      <c r="AO1541" t="s">
        <v>118</v>
      </c>
      <c r="AP1541">
        <v>99</v>
      </c>
      <c r="AQ1541">
        <v>107</v>
      </c>
      <c r="AR1541">
        <v>-128</v>
      </c>
      <c r="AZ1541">
        <v>300</v>
      </c>
      <c r="BA1541">
        <v>1</v>
      </c>
      <c r="BB1541" t="str">
        <f t="shared" si="77"/>
        <v xml:space="preserve">N162AM  </v>
      </c>
      <c r="BC1541">
        <v>1</v>
      </c>
      <c r="BE1541">
        <v>0</v>
      </c>
      <c r="BF1541">
        <v>0</v>
      </c>
      <c r="BG1541">
        <v>0</v>
      </c>
      <c r="BH1541">
        <v>1750</v>
      </c>
      <c r="BI1541">
        <v>1</v>
      </c>
      <c r="BJ1541">
        <v>1</v>
      </c>
      <c r="BK1541">
        <v>1</v>
      </c>
      <c r="BL1541">
        <v>0</v>
      </c>
      <c r="BO1541">
        <v>0</v>
      </c>
      <c r="BP1541">
        <v>0</v>
      </c>
      <c r="BW1541" t="str">
        <f>"14:51:12.680"</f>
        <v>14:51:12.680</v>
      </c>
      <c r="CJ1541">
        <v>3</v>
      </c>
      <c r="CK1541">
        <v>2</v>
      </c>
      <c r="CL1541">
        <v>0</v>
      </c>
      <c r="CM1541">
        <v>2</v>
      </c>
      <c r="CN1541">
        <v>0</v>
      </c>
      <c r="CO1541">
        <v>6</v>
      </c>
      <c r="CP1541" t="s">
        <v>119</v>
      </c>
      <c r="CQ1541">
        <v>232</v>
      </c>
      <c r="CR1541">
        <v>2</v>
      </c>
      <c r="CW1541">
        <v>6814020</v>
      </c>
      <c r="CY1541">
        <v>1</v>
      </c>
      <c r="CZ1541">
        <v>0</v>
      </c>
      <c r="DA1541">
        <v>1</v>
      </c>
      <c r="DB1541">
        <v>0</v>
      </c>
      <c r="DC1541">
        <v>0</v>
      </c>
      <c r="DD1541">
        <v>1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>"12/16/2021 14:51:13.836"</f>
        <v>12/16/2021 14:51:13.836</v>
      </c>
      <c r="C1542" t="str">
        <f t="shared" si="76"/>
        <v>FFDFD3C0</v>
      </c>
      <c r="D1542" t="s">
        <v>133</v>
      </c>
      <c r="E1542">
        <v>44</v>
      </c>
      <c r="H1542">
        <v>131</v>
      </c>
      <c r="I1542" t="s">
        <v>134</v>
      </c>
      <c r="J1542" t="s">
        <v>135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"14:51:13.633"</f>
        <v>14:51:13.633</v>
      </c>
      <c r="T1542" t="str">
        <f>"14:51:13.233"</f>
        <v>14:51:13.233</v>
      </c>
      <c r="U1542" t="str">
        <f t="shared" si="78"/>
        <v>A0F928</v>
      </c>
      <c r="V1542">
        <v>0</v>
      </c>
      <c r="W1542">
        <v>0</v>
      </c>
      <c r="X1542">
        <v>2</v>
      </c>
      <c r="Z1542">
        <v>0</v>
      </c>
      <c r="AA1542">
        <v>9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2</v>
      </c>
      <c r="AH1542">
        <v>1</v>
      </c>
      <c r="AI1542" t="s">
        <v>844</v>
      </c>
      <c r="AJ1542">
        <v>35.809120999999998</v>
      </c>
      <c r="AK1542" t="s">
        <v>845</v>
      </c>
      <c r="AL1542">
        <v>-84.038780000000003</v>
      </c>
      <c r="AM1542">
        <v>25</v>
      </c>
      <c r="AN1542">
        <v>1475</v>
      </c>
      <c r="AO1542" t="s">
        <v>118</v>
      </c>
      <c r="AP1542">
        <v>100</v>
      </c>
      <c r="AQ1542">
        <v>106</v>
      </c>
      <c r="AR1542">
        <v>0</v>
      </c>
      <c r="AZ1542">
        <v>300</v>
      </c>
      <c r="BA1542">
        <v>1</v>
      </c>
      <c r="BB1542" t="str">
        <f t="shared" si="77"/>
        <v xml:space="preserve">N162AM  </v>
      </c>
      <c r="BC1542">
        <v>1</v>
      </c>
      <c r="BE1542">
        <v>0</v>
      </c>
      <c r="BF1542">
        <v>0</v>
      </c>
      <c r="BG1542">
        <v>0</v>
      </c>
      <c r="BH1542">
        <v>1750</v>
      </c>
      <c r="BI1542">
        <v>1</v>
      </c>
      <c r="BJ1542">
        <v>1</v>
      </c>
      <c r="BK1542">
        <v>1</v>
      </c>
      <c r="BL1542">
        <v>0</v>
      </c>
      <c r="BO1542">
        <v>0</v>
      </c>
      <c r="BP1542">
        <v>0</v>
      </c>
      <c r="BW1542" t="str">
        <f>"14:51:13.639"</f>
        <v>14:51:13.639</v>
      </c>
      <c r="CJ1542">
        <v>3</v>
      </c>
      <c r="CK1542">
        <v>2</v>
      </c>
      <c r="CL1542">
        <v>0</v>
      </c>
      <c r="CM1542">
        <v>2</v>
      </c>
      <c r="CN1542">
        <v>0</v>
      </c>
      <c r="CO1542">
        <v>6</v>
      </c>
      <c r="CP1542" t="s">
        <v>119</v>
      </c>
      <c r="CQ1542">
        <v>232</v>
      </c>
      <c r="CR1542">
        <v>1</v>
      </c>
      <c r="CW1542">
        <v>15611456</v>
      </c>
      <c r="CY1542">
        <v>1</v>
      </c>
      <c r="CZ1542">
        <v>0</v>
      </c>
      <c r="DA1542">
        <v>0</v>
      </c>
      <c r="DB1542">
        <v>0</v>
      </c>
      <c r="DC1542">
        <v>0</v>
      </c>
      <c r="DD1542">
        <v>1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>"12/16/2021 14:51:13.836"</f>
        <v>12/16/2021 14:51:13.836</v>
      </c>
      <c r="C1543" t="str">
        <f t="shared" si="76"/>
        <v>FFDFD3C0</v>
      </c>
      <c r="D1543" t="s">
        <v>124</v>
      </c>
      <c r="E1543">
        <v>10</v>
      </c>
      <c r="F1543">
        <v>1010</v>
      </c>
      <c r="G1543" t="s">
        <v>130</v>
      </c>
      <c r="J1543" t="s">
        <v>125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>"14:51:13.633"</f>
        <v>14:51:13.633</v>
      </c>
      <c r="T1543" t="str">
        <f>"14:51:13.233"</f>
        <v>14:51:13.233</v>
      </c>
      <c r="U1543" t="str">
        <f t="shared" si="78"/>
        <v>A0F928</v>
      </c>
      <c r="V1543">
        <v>0</v>
      </c>
      <c r="W1543">
        <v>0</v>
      </c>
      <c r="X1543">
        <v>2</v>
      </c>
      <c r="Z1543">
        <v>0</v>
      </c>
      <c r="AA1543">
        <v>9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2</v>
      </c>
      <c r="AH1543">
        <v>1</v>
      </c>
      <c r="AI1543" t="s">
        <v>844</v>
      </c>
      <c r="AJ1543">
        <v>35.809120999999998</v>
      </c>
      <c r="AK1543" t="s">
        <v>845</v>
      </c>
      <c r="AL1543">
        <v>-84.038780000000003</v>
      </c>
      <c r="AM1543">
        <v>25</v>
      </c>
      <c r="AN1543">
        <v>1475</v>
      </c>
      <c r="AO1543" t="s">
        <v>118</v>
      </c>
      <c r="AP1543">
        <v>100</v>
      </c>
      <c r="AQ1543">
        <v>106</v>
      </c>
      <c r="AR1543">
        <v>0</v>
      </c>
      <c r="AZ1543">
        <v>300</v>
      </c>
      <c r="BA1543">
        <v>1</v>
      </c>
      <c r="BB1543" t="str">
        <f t="shared" si="77"/>
        <v xml:space="preserve">N162AM  </v>
      </c>
      <c r="BC1543">
        <v>1</v>
      </c>
      <c r="BE1543">
        <v>0</v>
      </c>
      <c r="BF1543">
        <v>0</v>
      </c>
      <c r="BG1543">
        <v>0</v>
      </c>
      <c r="BH1543">
        <v>1750</v>
      </c>
      <c r="BI1543">
        <v>1</v>
      </c>
      <c r="BJ1543">
        <v>1</v>
      </c>
      <c r="BK1543">
        <v>1</v>
      </c>
      <c r="BL1543">
        <v>0</v>
      </c>
      <c r="BO1543">
        <v>0</v>
      </c>
      <c r="BP1543">
        <v>0</v>
      </c>
      <c r="BW1543" t="str">
        <f>"14:51:13.639"</f>
        <v>14:51:13.639</v>
      </c>
      <c r="CJ1543">
        <v>3</v>
      </c>
      <c r="CK1543">
        <v>2</v>
      </c>
      <c r="CL1543">
        <v>0</v>
      </c>
      <c r="CM1543">
        <v>2</v>
      </c>
      <c r="CN1543">
        <v>0</v>
      </c>
      <c r="CO1543">
        <v>6</v>
      </c>
      <c r="CP1543" t="s">
        <v>119</v>
      </c>
      <c r="CQ1543">
        <v>232</v>
      </c>
      <c r="CR1543">
        <v>1</v>
      </c>
      <c r="CW1543">
        <v>15611456</v>
      </c>
      <c r="CY1543">
        <v>1</v>
      </c>
      <c r="CZ1543">
        <v>0</v>
      </c>
      <c r="DA1543">
        <v>1</v>
      </c>
      <c r="DB1543">
        <v>0</v>
      </c>
      <c r="DC1543">
        <v>0</v>
      </c>
      <c r="DD1543">
        <v>1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>"12/16/2021 14:51:13.851"</f>
        <v>12/16/2021 14:51:13.851</v>
      </c>
      <c r="C1544" t="str">
        <f t="shared" si="76"/>
        <v>FFDFD3C0</v>
      </c>
      <c r="D1544" t="s">
        <v>124</v>
      </c>
      <c r="E1544">
        <v>5</v>
      </c>
      <c r="F1544">
        <v>1005</v>
      </c>
      <c r="G1544" t="s">
        <v>114</v>
      </c>
      <c r="J1544" t="s">
        <v>125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>"14:51:13.633"</f>
        <v>14:51:13.633</v>
      </c>
      <c r="T1544" t="str">
        <f>"14:51:13.233"</f>
        <v>14:51:13.233</v>
      </c>
      <c r="U1544" t="str">
        <f t="shared" si="78"/>
        <v>A0F928</v>
      </c>
      <c r="V1544">
        <v>0</v>
      </c>
      <c r="W1544">
        <v>0</v>
      </c>
      <c r="X1544">
        <v>2</v>
      </c>
      <c r="Z1544">
        <v>0</v>
      </c>
      <c r="AA1544">
        <v>9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2</v>
      </c>
      <c r="AH1544">
        <v>1</v>
      </c>
      <c r="AI1544" t="s">
        <v>844</v>
      </c>
      <c r="AJ1544">
        <v>35.809120999999998</v>
      </c>
      <c r="AK1544" t="s">
        <v>845</v>
      </c>
      <c r="AL1544">
        <v>-84.038780000000003</v>
      </c>
      <c r="AM1544">
        <v>25</v>
      </c>
      <c r="AN1544">
        <v>1475</v>
      </c>
      <c r="AO1544" t="s">
        <v>118</v>
      </c>
      <c r="AP1544">
        <v>100</v>
      </c>
      <c r="AQ1544">
        <v>106</v>
      </c>
      <c r="AR1544">
        <v>0</v>
      </c>
      <c r="AZ1544">
        <v>300</v>
      </c>
      <c r="BA1544">
        <v>1</v>
      </c>
      <c r="BB1544" t="str">
        <f t="shared" si="77"/>
        <v xml:space="preserve">N162AM  </v>
      </c>
      <c r="BC1544">
        <v>1</v>
      </c>
      <c r="BE1544">
        <v>0</v>
      </c>
      <c r="BF1544">
        <v>0</v>
      </c>
      <c r="BG1544">
        <v>0</v>
      </c>
      <c r="BH1544">
        <v>1750</v>
      </c>
      <c r="BI1544">
        <v>1</v>
      </c>
      <c r="BJ1544">
        <v>1</v>
      </c>
      <c r="BK1544">
        <v>1</v>
      </c>
      <c r="BL1544">
        <v>0</v>
      </c>
      <c r="BO1544">
        <v>0</v>
      </c>
      <c r="BP1544">
        <v>0</v>
      </c>
      <c r="BW1544" t="str">
        <f>"14:51:13.639"</f>
        <v>14:51:13.639</v>
      </c>
      <c r="CJ1544">
        <v>3</v>
      </c>
      <c r="CK1544">
        <v>2</v>
      </c>
      <c r="CL1544">
        <v>0</v>
      </c>
      <c r="CM1544">
        <v>2</v>
      </c>
      <c r="CN1544">
        <v>0</v>
      </c>
      <c r="CO1544">
        <v>6</v>
      </c>
      <c r="CP1544" t="s">
        <v>119</v>
      </c>
      <c r="CQ1544">
        <v>232</v>
      </c>
      <c r="CR1544">
        <v>1</v>
      </c>
      <c r="CW1544">
        <v>15611456</v>
      </c>
      <c r="CY1544">
        <v>1</v>
      </c>
      <c r="CZ1544">
        <v>0</v>
      </c>
      <c r="DA1544">
        <v>1</v>
      </c>
      <c r="DB1544">
        <v>0</v>
      </c>
      <c r="DC1544">
        <v>0</v>
      </c>
      <c r="DD1544">
        <v>1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>"12/16/2021 14:51:13.836"</f>
        <v>12/16/2021 14:51:13.836</v>
      </c>
      <c r="C1545" t="str">
        <f t="shared" si="76"/>
        <v>FFDFD3C0</v>
      </c>
      <c r="D1545" t="s">
        <v>113</v>
      </c>
      <c r="E1545">
        <v>8</v>
      </c>
      <c r="H1545">
        <v>176</v>
      </c>
      <c r="I1545" t="s">
        <v>114</v>
      </c>
      <c r="J1545" t="s">
        <v>115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>"14:51:13.633"</f>
        <v>14:51:13.633</v>
      </c>
      <c r="T1545" t="str">
        <f>"14:51:13.233"</f>
        <v>14:51:13.233</v>
      </c>
      <c r="U1545" t="str">
        <f t="shared" si="78"/>
        <v>A0F928</v>
      </c>
      <c r="V1545">
        <v>0</v>
      </c>
      <c r="W1545">
        <v>0</v>
      </c>
      <c r="X1545">
        <v>2</v>
      </c>
      <c r="Z1545">
        <v>0</v>
      </c>
      <c r="AA1545">
        <v>9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2</v>
      </c>
      <c r="AH1545">
        <v>1</v>
      </c>
      <c r="AI1545" t="s">
        <v>844</v>
      </c>
      <c r="AJ1545">
        <v>35.809120999999998</v>
      </c>
      <c r="AK1545" t="s">
        <v>845</v>
      </c>
      <c r="AL1545">
        <v>-84.038780000000003</v>
      </c>
      <c r="AM1545">
        <v>25</v>
      </c>
      <c r="AN1545">
        <v>1475</v>
      </c>
      <c r="AO1545" t="s">
        <v>118</v>
      </c>
      <c r="AP1545">
        <v>100</v>
      </c>
      <c r="AQ1545">
        <v>106</v>
      </c>
      <c r="AR1545">
        <v>0</v>
      </c>
      <c r="AZ1545">
        <v>300</v>
      </c>
      <c r="BA1545">
        <v>1</v>
      </c>
      <c r="BB1545" t="str">
        <f t="shared" si="77"/>
        <v xml:space="preserve">N162AM  </v>
      </c>
      <c r="BC1545">
        <v>1</v>
      </c>
      <c r="BE1545">
        <v>0</v>
      </c>
      <c r="BF1545">
        <v>0</v>
      </c>
      <c r="BG1545">
        <v>0</v>
      </c>
      <c r="BH1545">
        <v>1750</v>
      </c>
      <c r="BI1545">
        <v>1</v>
      </c>
      <c r="BJ1545">
        <v>1</v>
      </c>
      <c r="BK1545">
        <v>1</v>
      </c>
      <c r="BL1545">
        <v>0</v>
      </c>
      <c r="BO1545">
        <v>0</v>
      </c>
      <c r="BP1545">
        <v>0</v>
      </c>
      <c r="BW1545" t="str">
        <f>"14:51:13.639"</f>
        <v>14:51:13.639</v>
      </c>
      <c r="CJ1545">
        <v>3</v>
      </c>
      <c r="CK1545">
        <v>2</v>
      </c>
      <c r="CL1545">
        <v>0</v>
      </c>
      <c r="CM1545">
        <v>2</v>
      </c>
      <c r="CN1545">
        <v>0</v>
      </c>
      <c r="CO1545">
        <v>6</v>
      </c>
      <c r="CP1545" t="s">
        <v>119</v>
      </c>
      <c r="CQ1545">
        <v>232</v>
      </c>
      <c r="CR1545">
        <v>1</v>
      </c>
      <c r="CW1545">
        <v>15611456</v>
      </c>
      <c r="CY1545">
        <v>1</v>
      </c>
      <c r="CZ1545">
        <v>0</v>
      </c>
      <c r="DA1545">
        <v>1</v>
      </c>
      <c r="DB1545">
        <v>0</v>
      </c>
      <c r="DC1545">
        <v>0</v>
      </c>
      <c r="DD1545">
        <v>1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>"12/16/2021 14:51:14.945"</f>
        <v>12/16/2021 14:51:14.945</v>
      </c>
      <c r="C1546" t="str">
        <f t="shared" si="76"/>
        <v>FFDFD3C0</v>
      </c>
      <c r="D1546" t="s">
        <v>124</v>
      </c>
      <c r="E1546">
        <v>5</v>
      </c>
      <c r="F1546">
        <v>1005</v>
      </c>
      <c r="G1546" t="s">
        <v>114</v>
      </c>
      <c r="J1546" t="s">
        <v>125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"14:51:14.719"</f>
        <v>14:51:14.719</v>
      </c>
      <c r="T1546" t="str">
        <f>"14:51:14.219"</f>
        <v>14:51:14.219</v>
      </c>
      <c r="U1546" t="str">
        <f t="shared" si="78"/>
        <v>A0F928</v>
      </c>
      <c r="V1546">
        <v>0</v>
      </c>
      <c r="W1546">
        <v>0</v>
      </c>
      <c r="X1546">
        <v>2</v>
      </c>
      <c r="Z1546">
        <v>0</v>
      </c>
      <c r="AA1546">
        <v>9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2</v>
      </c>
      <c r="AH1546">
        <v>1</v>
      </c>
      <c r="AI1546" t="s">
        <v>370</v>
      </c>
      <c r="AJ1546">
        <v>35.809657999999999</v>
      </c>
      <c r="AK1546" t="s">
        <v>776</v>
      </c>
      <c r="AL1546">
        <v>-84.038115000000005</v>
      </c>
      <c r="AM1546">
        <v>25</v>
      </c>
      <c r="AN1546">
        <v>1475</v>
      </c>
      <c r="AO1546" t="s">
        <v>118</v>
      </c>
      <c r="AP1546">
        <v>101</v>
      </c>
      <c r="AQ1546">
        <v>105</v>
      </c>
      <c r="AR1546">
        <v>128</v>
      </c>
      <c r="AZ1546">
        <v>300</v>
      </c>
      <c r="BA1546">
        <v>1</v>
      </c>
      <c r="BB1546" t="str">
        <f t="shared" si="77"/>
        <v xml:space="preserve">N162AM  </v>
      </c>
      <c r="BC1546">
        <v>1</v>
      </c>
      <c r="BE1546">
        <v>0</v>
      </c>
      <c r="BF1546">
        <v>0</v>
      </c>
      <c r="BG1546">
        <v>0</v>
      </c>
      <c r="BH1546">
        <v>1750</v>
      </c>
      <c r="BI1546">
        <v>1</v>
      </c>
      <c r="BJ1546">
        <v>1</v>
      </c>
      <c r="BK1546">
        <v>1</v>
      </c>
      <c r="BL1546">
        <v>0</v>
      </c>
      <c r="BO1546">
        <v>0</v>
      </c>
      <c r="BP1546">
        <v>0</v>
      </c>
      <c r="BW1546" t="str">
        <f>"14:51:14.720"</f>
        <v>14:51:14.720</v>
      </c>
      <c r="CJ1546">
        <v>3</v>
      </c>
      <c r="CK1546">
        <v>2</v>
      </c>
      <c r="CL1546">
        <v>0</v>
      </c>
      <c r="CM1546">
        <v>2</v>
      </c>
      <c r="CN1546">
        <v>0</v>
      </c>
      <c r="CO1546">
        <v>6</v>
      </c>
      <c r="CP1546" t="s">
        <v>119</v>
      </c>
      <c r="CQ1546">
        <v>232</v>
      </c>
      <c r="CR1546">
        <v>2</v>
      </c>
      <c r="CW1546">
        <v>6817090</v>
      </c>
      <c r="CY1546">
        <v>1</v>
      </c>
      <c r="CZ1546">
        <v>0</v>
      </c>
      <c r="DA1546">
        <v>0</v>
      </c>
      <c r="DB1546">
        <v>0</v>
      </c>
      <c r="DC1546">
        <v>0</v>
      </c>
      <c r="DD1546">
        <v>1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>"12/16/2021 14:51:14.945"</f>
        <v>12/16/2021 14:51:14.945</v>
      </c>
      <c r="C1547" t="str">
        <f t="shared" si="76"/>
        <v>FFDFD3C0</v>
      </c>
      <c r="D1547" t="s">
        <v>133</v>
      </c>
      <c r="E1547">
        <v>44</v>
      </c>
      <c r="H1547">
        <v>131</v>
      </c>
      <c r="I1547" t="s">
        <v>134</v>
      </c>
      <c r="J1547" t="s">
        <v>135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>"14:51:14.719"</f>
        <v>14:51:14.719</v>
      </c>
      <c r="T1547" t="str">
        <f>"14:51:14.219"</f>
        <v>14:51:14.219</v>
      </c>
      <c r="U1547" t="str">
        <f t="shared" si="78"/>
        <v>A0F928</v>
      </c>
      <c r="V1547">
        <v>0</v>
      </c>
      <c r="W1547">
        <v>0</v>
      </c>
      <c r="X1547">
        <v>2</v>
      </c>
      <c r="Z1547">
        <v>0</v>
      </c>
      <c r="AA1547">
        <v>9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2</v>
      </c>
      <c r="AH1547">
        <v>1</v>
      </c>
      <c r="AI1547" t="s">
        <v>370</v>
      </c>
      <c r="AJ1547">
        <v>35.809657999999999</v>
      </c>
      <c r="AK1547" t="s">
        <v>776</v>
      </c>
      <c r="AL1547">
        <v>-84.038115000000005</v>
      </c>
      <c r="AM1547">
        <v>25</v>
      </c>
      <c r="AN1547">
        <v>1475</v>
      </c>
      <c r="AO1547" t="s">
        <v>118</v>
      </c>
      <c r="AP1547">
        <v>101</v>
      </c>
      <c r="AQ1547">
        <v>105</v>
      </c>
      <c r="AR1547">
        <v>128</v>
      </c>
      <c r="AZ1547">
        <v>300</v>
      </c>
      <c r="BA1547">
        <v>1</v>
      </c>
      <c r="BB1547" t="str">
        <f t="shared" si="77"/>
        <v xml:space="preserve">N162AM  </v>
      </c>
      <c r="BC1547">
        <v>1</v>
      </c>
      <c r="BE1547">
        <v>0</v>
      </c>
      <c r="BF1547">
        <v>0</v>
      </c>
      <c r="BG1547">
        <v>0</v>
      </c>
      <c r="BH1547">
        <v>1750</v>
      </c>
      <c r="BI1547">
        <v>1</v>
      </c>
      <c r="BJ1547">
        <v>1</v>
      </c>
      <c r="BK1547">
        <v>1</v>
      </c>
      <c r="BL1547">
        <v>0</v>
      </c>
      <c r="BO1547">
        <v>0</v>
      </c>
      <c r="BP1547">
        <v>0</v>
      </c>
      <c r="BW1547" t="str">
        <f>"14:51:14.720"</f>
        <v>14:51:14.720</v>
      </c>
      <c r="CJ1547">
        <v>3</v>
      </c>
      <c r="CK1547">
        <v>2</v>
      </c>
      <c r="CL1547">
        <v>0</v>
      </c>
      <c r="CM1547">
        <v>2</v>
      </c>
      <c r="CN1547">
        <v>0</v>
      </c>
      <c r="CO1547">
        <v>6</v>
      </c>
      <c r="CP1547" t="s">
        <v>119</v>
      </c>
      <c r="CQ1547">
        <v>232</v>
      </c>
      <c r="CR1547">
        <v>2</v>
      </c>
      <c r="CW1547">
        <v>6817090</v>
      </c>
      <c r="CY1547">
        <v>1</v>
      </c>
      <c r="CZ1547">
        <v>0</v>
      </c>
      <c r="DA1547">
        <v>1</v>
      </c>
      <c r="DB1547">
        <v>0</v>
      </c>
      <c r="DC1547">
        <v>0</v>
      </c>
      <c r="DD1547">
        <v>1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>"12/16/2021 14:51:14.945"</f>
        <v>12/16/2021 14:51:14.945</v>
      </c>
      <c r="C1548" t="str">
        <f t="shared" si="76"/>
        <v>FFDFD3C0</v>
      </c>
      <c r="D1548" t="s">
        <v>124</v>
      </c>
      <c r="E1548">
        <v>10</v>
      </c>
      <c r="F1548">
        <v>1010</v>
      </c>
      <c r="G1548" t="s">
        <v>130</v>
      </c>
      <c r="J1548" t="s">
        <v>125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>"14:51:14.719"</f>
        <v>14:51:14.719</v>
      </c>
      <c r="T1548" t="str">
        <f>"14:51:14.219"</f>
        <v>14:51:14.219</v>
      </c>
      <c r="U1548" t="str">
        <f t="shared" si="78"/>
        <v>A0F928</v>
      </c>
      <c r="V1548">
        <v>0</v>
      </c>
      <c r="W1548">
        <v>0</v>
      </c>
      <c r="X1548">
        <v>2</v>
      </c>
      <c r="Z1548">
        <v>0</v>
      </c>
      <c r="AA1548">
        <v>9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2</v>
      </c>
      <c r="AH1548">
        <v>1</v>
      </c>
      <c r="AI1548" t="s">
        <v>370</v>
      </c>
      <c r="AJ1548">
        <v>35.809657999999999</v>
      </c>
      <c r="AK1548" t="s">
        <v>776</v>
      </c>
      <c r="AL1548">
        <v>-84.038115000000005</v>
      </c>
      <c r="AM1548">
        <v>25</v>
      </c>
      <c r="AN1548">
        <v>1475</v>
      </c>
      <c r="AO1548" t="s">
        <v>118</v>
      </c>
      <c r="AP1548">
        <v>101</v>
      </c>
      <c r="AQ1548">
        <v>105</v>
      </c>
      <c r="AR1548">
        <v>128</v>
      </c>
      <c r="AZ1548">
        <v>300</v>
      </c>
      <c r="BA1548">
        <v>1</v>
      </c>
      <c r="BB1548" t="str">
        <f t="shared" si="77"/>
        <v xml:space="preserve">N162AM  </v>
      </c>
      <c r="BC1548">
        <v>1</v>
      </c>
      <c r="BE1548">
        <v>0</v>
      </c>
      <c r="BF1548">
        <v>0</v>
      </c>
      <c r="BG1548">
        <v>0</v>
      </c>
      <c r="BH1548">
        <v>1750</v>
      </c>
      <c r="BI1548">
        <v>1</v>
      </c>
      <c r="BJ1548">
        <v>1</v>
      </c>
      <c r="BK1548">
        <v>1</v>
      </c>
      <c r="BL1548">
        <v>0</v>
      </c>
      <c r="BO1548">
        <v>0</v>
      </c>
      <c r="BP1548">
        <v>0</v>
      </c>
      <c r="BW1548" t="str">
        <f>"14:51:14.720"</f>
        <v>14:51:14.720</v>
      </c>
      <c r="CJ1548">
        <v>3</v>
      </c>
      <c r="CK1548">
        <v>2</v>
      </c>
      <c r="CL1548">
        <v>0</v>
      </c>
      <c r="CM1548">
        <v>2</v>
      </c>
      <c r="CN1548">
        <v>0</v>
      </c>
      <c r="CO1548">
        <v>6</v>
      </c>
      <c r="CP1548" t="s">
        <v>119</v>
      </c>
      <c r="CQ1548">
        <v>232</v>
      </c>
      <c r="CR1548">
        <v>2</v>
      </c>
      <c r="CW1548">
        <v>6817090</v>
      </c>
      <c r="CY1548">
        <v>1</v>
      </c>
      <c r="CZ1548">
        <v>0</v>
      </c>
      <c r="DA1548">
        <v>1</v>
      </c>
      <c r="DB1548">
        <v>0</v>
      </c>
      <c r="DC1548">
        <v>0</v>
      </c>
      <c r="DD1548">
        <v>1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>"12/16/2021 14:51:14.945"</f>
        <v>12/16/2021 14:51:14.945</v>
      </c>
      <c r="C1549" t="str">
        <f t="shared" si="76"/>
        <v>FFDFD3C0</v>
      </c>
      <c r="D1549" t="s">
        <v>113</v>
      </c>
      <c r="E1549">
        <v>8</v>
      </c>
      <c r="H1549">
        <v>176</v>
      </c>
      <c r="I1549" t="s">
        <v>114</v>
      </c>
      <c r="J1549" t="s">
        <v>115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>"14:51:14.719"</f>
        <v>14:51:14.719</v>
      </c>
      <c r="T1549" t="str">
        <f>"14:51:14.219"</f>
        <v>14:51:14.219</v>
      </c>
      <c r="U1549" t="str">
        <f t="shared" si="78"/>
        <v>A0F928</v>
      </c>
      <c r="V1549">
        <v>0</v>
      </c>
      <c r="W1549">
        <v>0</v>
      </c>
      <c r="X1549">
        <v>2</v>
      </c>
      <c r="Z1549">
        <v>0</v>
      </c>
      <c r="AA1549">
        <v>9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2</v>
      </c>
      <c r="AH1549">
        <v>1</v>
      </c>
      <c r="AI1549" t="s">
        <v>370</v>
      </c>
      <c r="AJ1549">
        <v>35.809657999999999</v>
      </c>
      <c r="AK1549" t="s">
        <v>776</v>
      </c>
      <c r="AL1549">
        <v>-84.038115000000005</v>
      </c>
      <c r="AM1549">
        <v>25</v>
      </c>
      <c r="AN1549">
        <v>1475</v>
      </c>
      <c r="AO1549" t="s">
        <v>118</v>
      </c>
      <c r="AP1549">
        <v>101</v>
      </c>
      <c r="AQ1549">
        <v>105</v>
      </c>
      <c r="AR1549">
        <v>128</v>
      </c>
      <c r="AZ1549">
        <v>300</v>
      </c>
      <c r="BA1549">
        <v>1</v>
      </c>
      <c r="BB1549" t="str">
        <f t="shared" si="77"/>
        <v xml:space="preserve">N162AM  </v>
      </c>
      <c r="BC1549">
        <v>1</v>
      </c>
      <c r="BE1549">
        <v>0</v>
      </c>
      <c r="BF1549">
        <v>0</v>
      </c>
      <c r="BG1549">
        <v>0</v>
      </c>
      <c r="BH1549">
        <v>1750</v>
      </c>
      <c r="BI1549">
        <v>1</v>
      </c>
      <c r="BJ1549">
        <v>1</v>
      </c>
      <c r="BK1549">
        <v>1</v>
      </c>
      <c r="BL1549">
        <v>0</v>
      </c>
      <c r="BO1549">
        <v>0</v>
      </c>
      <c r="BP1549">
        <v>0</v>
      </c>
      <c r="BW1549" t="str">
        <f>"14:51:14.720"</f>
        <v>14:51:14.720</v>
      </c>
      <c r="CJ1549">
        <v>3</v>
      </c>
      <c r="CK1549">
        <v>2</v>
      </c>
      <c r="CL1549">
        <v>0</v>
      </c>
      <c r="CM1549">
        <v>2</v>
      </c>
      <c r="CN1549">
        <v>0</v>
      </c>
      <c r="CO1549">
        <v>6</v>
      </c>
      <c r="CP1549" t="s">
        <v>119</v>
      </c>
      <c r="CQ1549">
        <v>232</v>
      </c>
      <c r="CR1549">
        <v>2</v>
      </c>
      <c r="CW1549">
        <v>6817090</v>
      </c>
      <c r="CY1549">
        <v>1</v>
      </c>
      <c r="CZ1549">
        <v>0</v>
      </c>
      <c r="DA1549">
        <v>1</v>
      </c>
      <c r="DB1549">
        <v>0</v>
      </c>
      <c r="DC1549">
        <v>0</v>
      </c>
      <c r="DD1549">
        <v>1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>"12/16/2021 14:51:15.867"</f>
        <v>12/16/2021 14:51:15.867</v>
      </c>
      <c r="C1550" t="str">
        <f t="shared" si="76"/>
        <v>FFDFD3C0</v>
      </c>
      <c r="D1550" t="s">
        <v>124</v>
      </c>
      <c r="E1550">
        <v>10</v>
      </c>
      <c r="F1550">
        <v>1010</v>
      </c>
      <c r="G1550" t="s">
        <v>130</v>
      </c>
      <c r="J1550" t="s">
        <v>125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"14:51:15.648"</f>
        <v>14:51:15.648</v>
      </c>
      <c r="T1550" t="str">
        <f>"14:51:15.248"</f>
        <v>14:51:15.248</v>
      </c>
      <c r="U1550" t="str">
        <f t="shared" si="78"/>
        <v>A0F928</v>
      </c>
      <c r="V1550">
        <v>0</v>
      </c>
      <c r="W1550">
        <v>0</v>
      </c>
      <c r="X1550">
        <v>2</v>
      </c>
      <c r="Z1550">
        <v>0</v>
      </c>
      <c r="AA1550">
        <v>9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2</v>
      </c>
      <c r="AH1550">
        <v>1</v>
      </c>
      <c r="AI1550" t="s">
        <v>846</v>
      </c>
      <c r="AJ1550">
        <v>35.810065000000002</v>
      </c>
      <c r="AK1550" t="s">
        <v>847</v>
      </c>
      <c r="AL1550">
        <v>-84.037621000000001</v>
      </c>
      <c r="AM1550">
        <v>25</v>
      </c>
      <c r="AN1550">
        <v>1475</v>
      </c>
      <c r="AO1550" t="s">
        <v>118</v>
      </c>
      <c r="AP1550">
        <v>102</v>
      </c>
      <c r="AQ1550">
        <v>104</v>
      </c>
      <c r="AR1550">
        <v>256</v>
      </c>
      <c r="AZ1550">
        <v>300</v>
      </c>
      <c r="BA1550">
        <v>1</v>
      </c>
      <c r="BB1550" t="str">
        <f t="shared" si="77"/>
        <v xml:space="preserve">N162AM  </v>
      </c>
      <c r="BC1550">
        <v>1</v>
      </c>
      <c r="BE1550">
        <v>0</v>
      </c>
      <c r="BF1550">
        <v>0</v>
      </c>
      <c r="BG1550">
        <v>0</v>
      </c>
      <c r="BH1550">
        <v>1750</v>
      </c>
      <c r="BI1550">
        <v>1</v>
      </c>
      <c r="BJ1550">
        <v>1</v>
      </c>
      <c r="BK1550">
        <v>1</v>
      </c>
      <c r="BL1550">
        <v>0</v>
      </c>
      <c r="BO1550">
        <v>0</v>
      </c>
      <c r="BP1550">
        <v>0</v>
      </c>
      <c r="BW1550" t="str">
        <f>"14:51:15.651"</f>
        <v>14:51:15.651</v>
      </c>
      <c r="CJ1550">
        <v>3</v>
      </c>
      <c r="CK1550">
        <v>2</v>
      </c>
      <c r="CL1550">
        <v>0</v>
      </c>
      <c r="CM1550">
        <v>2</v>
      </c>
      <c r="CN1550">
        <v>0</v>
      </c>
      <c r="CO1550">
        <v>6</v>
      </c>
      <c r="CP1550" t="s">
        <v>119</v>
      </c>
      <c r="CQ1550">
        <v>232</v>
      </c>
      <c r="CR1550">
        <v>1</v>
      </c>
      <c r="CW1550">
        <v>15614373</v>
      </c>
      <c r="CY1550">
        <v>1</v>
      </c>
      <c r="CZ1550">
        <v>0</v>
      </c>
      <c r="DA1550">
        <v>0</v>
      </c>
      <c r="DB1550">
        <v>0</v>
      </c>
      <c r="DC1550">
        <v>0</v>
      </c>
      <c r="DD1550">
        <v>1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>"12/16/2021 14:51:15.867"</f>
        <v>12/16/2021 14:51:15.867</v>
      </c>
      <c r="C1551" t="str">
        <f t="shared" si="76"/>
        <v>FFDFD3C0</v>
      </c>
      <c r="D1551" t="s">
        <v>113</v>
      </c>
      <c r="E1551">
        <v>8</v>
      </c>
      <c r="H1551">
        <v>176</v>
      </c>
      <c r="I1551" t="s">
        <v>114</v>
      </c>
      <c r="J1551" t="s">
        <v>115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>"14:51:15.648"</f>
        <v>14:51:15.648</v>
      </c>
      <c r="T1551" t="str">
        <f>"14:51:15.248"</f>
        <v>14:51:15.248</v>
      </c>
      <c r="U1551" t="str">
        <f t="shared" si="78"/>
        <v>A0F928</v>
      </c>
      <c r="V1551">
        <v>0</v>
      </c>
      <c r="W1551">
        <v>0</v>
      </c>
      <c r="X1551">
        <v>2</v>
      </c>
      <c r="Z1551">
        <v>0</v>
      </c>
      <c r="AA1551">
        <v>9</v>
      </c>
      <c r="AB1551">
        <v>3</v>
      </c>
      <c r="AC1551">
        <v>0</v>
      </c>
      <c r="AD1551">
        <v>10</v>
      </c>
      <c r="AE1551">
        <v>0</v>
      </c>
      <c r="AF1551">
        <v>3</v>
      </c>
      <c r="AG1551">
        <v>2</v>
      </c>
      <c r="AH1551">
        <v>1</v>
      </c>
      <c r="AI1551" t="s">
        <v>846</v>
      </c>
      <c r="AJ1551">
        <v>35.810065000000002</v>
      </c>
      <c r="AK1551" t="s">
        <v>847</v>
      </c>
      <c r="AL1551">
        <v>-84.037621000000001</v>
      </c>
      <c r="AM1551">
        <v>25</v>
      </c>
      <c r="AN1551">
        <v>1475</v>
      </c>
      <c r="AO1551" t="s">
        <v>118</v>
      </c>
      <c r="AP1551">
        <v>102</v>
      </c>
      <c r="AQ1551">
        <v>104</v>
      </c>
      <c r="AR1551">
        <v>256</v>
      </c>
      <c r="AZ1551">
        <v>300</v>
      </c>
      <c r="BA1551">
        <v>1</v>
      </c>
      <c r="BB1551" t="str">
        <f t="shared" si="77"/>
        <v xml:space="preserve">N162AM  </v>
      </c>
      <c r="BC1551">
        <v>1</v>
      </c>
      <c r="BE1551">
        <v>0</v>
      </c>
      <c r="BF1551">
        <v>0</v>
      </c>
      <c r="BG1551">
        <v>0</v>
      </c>
      <c r="BH1551">
        <v>1750</v>
      </c>
      <c r="BI1551">
        <v>1</v>
      </c>
      <c r="BJ1551">
        <v>1</v>
      </c>
      <c r="BK1551">
        <v>1</v>
      </c>
      <c r="BL1551">
        <v>0</v>
      </c>
      <c r="BO1551">
        <v>0</v>
      </c>
      <c r="BP1551">
        <v>0</v>
      </c>
      <c r="BW1551" t="str">
        <f>"14:51:15.651"</f>
        <v>14:51:15.651</v>
      </c>
      <c r="CJ1551">
        <v>3</v>
      </c>
      <c r="CK1551">
        <v>2</v>
      </c>
      <c r="CL1551">
        <v>0</v>
      </c>
      <c r="CM1551">
        <v>2</v>
      </c>
      <c r="CN1551">
        <v>0</v>
      </c>
      <c r="CO1551">
        <v>6</v>
      </c>
      <c r="CP1551" t="s">
        <v>119</v>
      </c>
      <c r="CQ1551">
        <v>232</v>
      </c>
      <c r="CR1551">
        <v>1</v>
      </c>
      <c r="CW1551">
        <v>15614373</v>
      </c>
      <c r="CY1551">
        <v>1</v>
      </c>
      <c r="CZ1551">
        <v>0</v>
      </c>
      <c r="DA1551">
        <v>1</v>
      </c>
      <c r="DB1551">
        <v>0</v>
      </c>
      <c r="DC1551">
        <v>0</v>
      </c>
      <c r="DD1551">
        <v>1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>"12/16/2021 14:51:15.867"</f>
        <v>12/16/2021 14:51:15.867</v>
      </c>
      <c r="C1552" t="str">
        <f t="shared" si="76"/>
        <v>FFDFD3C0</v>
      </c>
      <c r="D1552" t="s">
        <v>124</v>
      </c>
      <c r="E1552">
        <v>5</v>
      </c>
      <c r="F1552">
        <v>1005</v>
      </c>
      <c r="G1552" t="s">
        <v>114</v>
      </c>
      <c r="J1552" t="s">
        <v>125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>"14:51:15.648"</f>
        <v>14:51:15.648</v>
      </c>
      <c r="T1552" t="str">
        <f>"14:51:15.248"</f>
        <v>14:51:15.248</v>
      </c>
      <c r="U1552" t="str">
        <f t="shared" si="78"/>
        <v>A0F928</v>
      </c>
      <c r="V1552">
        <v>0</v>
      </c>
      <c r="W1552">
        <v>0</v>
      </c>
      <c r="X1552">
        <v>2</v>
      </c>
      <c r="Z1552">
        <v>0</v>
      </c>
      <c r="AA1552">
        <v>9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2</v>
      </c>
      <c r="AH1552">
        <v>1</v>
      </c>
      <c r="AI1552" t="s">
        <v>846</v>
      </c>
      <c r="AJ1552">
        <v>35.810065000000002</v>
      </c>
      <c r="AK1552" t="s">
        <v>847</v>
      </c>
      <c r="AL1552">
        <v>-84.037621000000001</v>
      </c>
      <c r="AM1552">
        <v>25</v>
      </c>
      <c r="AN1552">
        <v>1475</v>
      </c>
      <c r="AO1552" t="s">
        <v>118</v>
      </c>
      <c r="AP1552">
        <v>102</v>
      </c>
      <c r="AQ1552">
        <v>104</v>
      </c>
      <c r="AR1552">
        <v>256</v>
      </c>
      <c r="AZ1552">
        <v>300</v>
      </c>
      <c r="BA1552">
        <v>1</v>
      </c>
      <c r="BB1552" t="str">
        <f t="shared" si="77"/>
        <v xml:space="preserve">N162AM  </v>
      </c>
      <c r="BC1552">
        <v>1</v>
      </c>
      <c r="BE1552">
        <v>0</v>
      </c>
      <c r="BF1552">
        <v>0</v>
      </c>
      <c r="BG1552">
        <v>0</v>
      </c>
      <c r="BH1552">
        <v>1750</v>
      </c>
      <c r="BI1552">
        <v>1</v>
      </c>
      <c r="BJ1552">
        <v>1</v>
      </c>
      <c r="BK1552">
        <v>1</v>
      </c>
      <c r="BL1552">
        <v>0</v>
      </c>
      <c r="BO1552">
        <v>0</v>
      </c>
      <c r="BP1552">
        <v>0</v>
      </c>
      <c r="BW1552" t="str">
        <f>"14:51:15.651"</f>
        <v>14:51:15.651</v>
      </c>
      <c r="CJ1552">
        <v>3</v>
      </c>
      <c r="CK1552">
        <v>2</v>
      </c>
      <c r="CL1552">
        <v>0</v>
      </c>
      <c r="CM1552">
        <v>2</v>
      </c>
      <c r="CN1552">
        <v>0</v>
      </c>
      <c r="CO1552">
        <v>6</v>
      </c>
      <c r="CP1552" t="s">
        <v>119</v>
      </c>
      <c r="CQ1552">
        <v>232</v>
      </c>
      <c r="CR1552">
        <v>1</v>
      </c>
      <c r="CW1552">
        <v>15614373</v>
      </c>
      <c r="CY1552">
        <v>1</v>
      </c>
      <c r="CZ1552">
        <v>0</v>
      </c>
      <c r="DA1552">
        <v>1</v>
      </c>
      <c r="DB1552">
        <v>0</v>
      </c>
      <c r="DC1552">
        <v>0</v>
      </c>
      <c r="DD1552">
        <v>1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>"12/16/2021 14:51:15.882"</f>
        <v>12/16/2021 14:51:15.882</v>
      </c>
      <c r="C1553" t="str">
        <f t="shared" si="76"/>
        <v>FFDFD3C0</v>
      </c>
      <c r="D1553" t="s">
        <v>133</v>
      </c>
      <c r="E1553">
        <v>44</v>
      </c>
      <c r="H1553">
        <v>131</v>
      </c>
      <c r="I1553" t="s">
        <v>134</v>
      </c>
      <c r="J1553" t="s">
        <v>135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"14:51:15.648"</f>
        <v>14:51:15.648</v>
      </c>
      <c r="T1553" t="str">
        <f>"14:51:15.248"</f>
        <v>14:51:15.248</v>
      </c>
      <c r="U1553" t="str">
        <f t="shared" si="78"/>
        <v>A0F928</v>
      </c>
      <c r="V1553">
        <v>0</v>
      </c>
      <c r="W1553">
        <v>0</v>
      </c>
      <c r="X1553">
        <v>2</v>
      </c>
      <c r="Z1553">
        <v>0</v>
      </c>
      <c r="AA1553">
        <v>9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2</v>
      </c>
      <c r="AH1553">
        <v>1</v>
      </c>
      <c r="AI1553" t="s">
        <v>846</v>
      </c>
      <c r="AJ1553">
        <v>35.810065000000002</v>
      </c>
      <c r="AK1553" t="s">
        <v>847</v>
      </c>
      <c r="AL1553">
        <v>-84.037621000000001</v>
      </c>
      <c r="AM1553">
        <v>25</v>
      </c>
      <c r="AN1553">
        <v>1475</v>
      </c>
      <c r="AO1553" t="s">
        <v>118</v>
      </c>
      <c r="AP1553">
        <v>102</v>
      </c>
      <c r="AQ1553">
        <v>104</v>
      </c>
      <c r="AR1553">
        <v>256</v>
      </c>
      <c r="AZ1553">
        <v>300</v>
      </c>
      <c r="BA1553">
        <v>1</v>
      </c>
      <c r="BB1553" t="str">
        <f t="shared" si="77"/>
        <v xml:space="preserve">N162AM  </v>
      </c>
      <c r="BC1553">
        <v>1</v>
      </c>
      <c r="BE1553">
        <v>0</v>
      </c>
      <c r="BF1553">
        <v>0</v>
      </c>
      <c r="BG1553">
        <v>0</v>
      </c>
      <c r="BH1553">
        <v>1750</v>
      </c>
      <c r="BI1553">
        <v>1</v>
      </c>
      <c r="BJ1553">
        <v>1</v>
      </c>
      <c r="BK1553">
        <v>1</v>
      </c>
      <c r="BL1553">
        <v>0</v>
      </c>
      <c r="BO1553">
        <v>0</v>
      </c>
      <c r="BP1553">
        <v>0</v>
      </c>
      <c r="BW1553" t="str">
        <f>"14:51:15.651"</f>
        <v>14:51:15.651</v>
      </c>
      <c r="CJ1553">
        <v>3</v>
      </c>
      <c r="CK1553">
        <v>2</v>
      </c>
      <c r="CL1553">
        <v>0</v>
      </c>
      <c r="CM1553">
        <v>2</v>
      </c>
      <c r="CN1553">
        <v>0</v>
      </c>
      <c r="CO1553">
        <v>6</v>
      </c>
      <c r="CP1553" t="s">
        <v>119</v>
      </c>
      <c r="CQ1553">
        <v>232</v>
      </c>
      <c r="CR1553">
        <v>1</v>
      </c>
      <c r="CW1553">
        <v>15614373</v>
      </c>
      <c r="CY1553">
        <v>1</v>
      </c>
      <c r="CZ1553">
        <v>0</v>
      </c>
      <c r="DA1553">
        <v>1</v>
      </c>
      <c r="DB1553">
        <v>0</v>
      </c>
      <c r="DC1553">
        <v>0</v>
      </c>
      <c r="DD1553">
        <v>1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>"12/16/2021 14:51:16.993"</f>
        <v>12/16/2021 14:51:16.993</v>
      </c>
      <c r="C1554" t="str">
        <f t="shared" si="76"/>
        <v>FFDFD3C0</v>
      </c>
      <c r="D1554" t="s">
        <v>124</v>
      </c>
      <c r="E1554">
        <v>5</v>
      </c>
      <c r="F1554">
        <v>1005</v>
      </c>
      <c r="G1554" t="s">
        <v>114</v>
      </c>
      <c r="J1554" t="s">
        <v>125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"14:51:16.758"</f>
        <v>14:51:16.758</v>
      </c>
      <c r="T1554" t="str">
        <f>"14:51:16.258"</f>
        <v>14:51:16.258</v>
      </c>
      <c r="U1554" t="str">
        <f t="shared" si="78"/>
        <v>A0F928</v>
      </c>
      <c r="V1554">
        <v>0</v>
      </c>
      <c r="W1554">
        <v>0</v>
      </c>
      <c r="X1554">
        <v>2</v>
      </c>
      <c r="Z1554">
        <v>0</v>
      </c>
      <c r="AA1554">
        <v>9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2</v>
      </c>
      <c r="AH1554">
        <v>1</v>
      </c>
      <c r="AI1554" t="s">
        <v>848</v>
      </c>
      <c r="AJ1554">
        <v>35.810665999999998</v>
      </c>
      <c r="AK1554" t="s">
        <v>849</v>
      </c>
      <c r="AL1554">
        <v>-84.036890999999997</v>
      </c>
      <c r="AM1554">
        <v>25</v>
      </c>
      <c r="AN1554">
        <v>1500</v>
      </c>
      <c r="AO1554" t="s">
        <v>118</v>
      </c>
      <c r="AP1554">
        <v>103</v>
      </c>
      <c r="AQ1554">
        <v>103</v>
      </c>
      <c r="AR1554">
        <v>320</v>
      </c>
      <c r="AZ1554">
        <v>300</v>
      </c>
      <c r="BA1554">
        <v>1</v>
      </c>
      <c r="BB1554" t="str">
        <f t="shared" si="77"/>
        <v xml:space="preserve">N162AM  </v>
      </c>
      <c r="BC1554">
        <v>1</v>
      </c>
      <c r="BE1554">
        <v>0</v>
      </c>
      <c r="BF1554">
        <v>0</v>
      </c>
      <c r="BG1554">
        <v>0</v>
      </c>
      <c r="BH1554">
        <v>1750</v>
      </c>
      <c r="BI1554">
        <v>1</v>
      </c>
      <c r="BJ1554">
        <v>1</v>
      </c>
      <c r="BK1554">
        <v>1</v>
      </c>
      <c r="BL1554">
        <v>0</v>
      </c>
      <c r="BO1554">
        <v>0</v>
      </c>
      <c r="BP1554">
        <v>0</v>
      </c>
      <c r="BW1554" t="str">
        <f>"14:51:16.760"</f>
        <v>14:51:16.760</v>
      </c>
      <c r="CJ1554">
        <v>3</v>
      </c>
      <c r="CK1554">
        <v>2</v>
      </c>
      <c r="CL1554">
        <v>0</v>
      </c>
      <c r="CM1554">
        <v>2</v>
      </c>
      <c r="CN1554">
        <v>0</v>
      </c>
      <c r="CO1554">
        <v>6</v>
      </c>
      <c r="CP1554" t="s">
        <v>119</v>
      </c>
      <c r="CQ1554">
        <v>232</v>
      </c>
      <c r="CR1554">
        <v>2</v>
      </c>
      <c r="CW1554">
        <v>6820359</v>
      </c>
      <c r="CY1554">
        <v>1</v>
      </c>
      <c r="CZ1554">
        <v>0</v>
      </c>
      <c r="DA1554">
        <v>0</v>
      </c>
      <c r="DB1554">
        <v>0</v>
      </c>
      <c r="DC1554">
        <v>0</v>
      </c>
      <c r="DD1554">
        <v>1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>"12/16/2021 14:51:16.993"</f>
        <v>12/16/2021 14:51:16.993</v>
      </c>
      <c r="C1555" t="str">
        <f t="shared" si="76"/>
        <v>FFDFD3C0</v>
      </c>
      <c r="D1555" t="s">
        <v>133</v>
      </c>
      <c r="E1555">
        <v>44</v>
      </c>
      <c r="H1555">
        <v>131</v>
      </c>
      <c r="I1555" t="s">
        <v>134</v>
      </c>
      <c r="J1555" t="s">
        <v>135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"14:51:16.758"</f>
        <v>14:51:16.758</v>
      </c>
      <c r="T1555" t="str">
        <f>"14:51:16.258"</f>
        <v>14:51:16.258</v>
      </c>
      <c r="U1555" t="str">
        <f t="shared" si="78"/>
        <v>A0F928</v>
      </c>
      <c r="V1555">
        <v>0</v>
      </c>
      <c r="W1555">
        <v>0</v>
      </c>
      <c r="X1555">
        <v>2</v>
      </c>
      <c r="Z1555">
        <v>0</v>
      </c>
      <c r="AA1555">
        <v>9</v>
      </c>
      <c r="AB1555">
        <v>3</v>
      </c>
      <c r="AC1555">
        <v>0</v>
      </c>
      <c r="AD1555">
        <v>10</v>
      </c>
      <c r="AE1555">
        <v>0</v>
      </c>
      <c r="AF1555">
        <v>3</v>
      </c>
      <c r="AG1555">
        <v>2</v>
      </c>
      <c r="AH1555">
        <v>1</v>
      </c>
      <c r="AI1555" t="s">
        <v>848</v>
      </c>
      <c r="AJ1555">
        <v>35.810665999999998</v>
      </c>
      <c r="AK1555" t="s">
        <v>849</v>
      </c>
      <c r="AL1555">
        <v>-84.036890999999997</v>
      </c>
      <c r="AM1555">
        <v>25</v>
      </c>
      <c r="AN1555">
        <v>1500</v>
      </c>
      <c r="AO1555" t="s">
        <v>118</v>
      </c>
      <c r="AP1555">
        <v>103</v>
      </c>
      <c r="AQ1555">
        <v>103</v>
      </c>
      <c r="AR1555">
        <v>320</v>
      </c>
      <c r="AZ1555">
        <v>300</v>
      </c>
      <c r="BA1555">
        <v>1</v>
      </c>
      <c r="BB1555" t="str">
        <f t="shared" si="77"/>
        <v xml:space="preserve">N162AM  </v>
      </c>
      <c r="BC1555">
        <v>1</v>
      </c>
      <c r="BE1555">
        <v>0</v>
      </c>
      <c r="BF1555">
        <v>0</v>
      </c>
      <c r="BG1555">
        <v>0</v>
      </c>
      <c r="BH1555">
        <v>1750</v>
      </c>
      <c r="BI1555">
        <v>1</v>
      </c>
      <c r="BJ1555">
        <v>1</v>
      </c>
      <c r="BK1555">
        <v>1</v>
      </c>
      <c r="BL1555">
        <v>0</v>
      </c>
      <c r="BO1555">
        <v>0</v>
      </c>
      <c r="BP1555">
        <v>0</v>
      </c>
      <c r="BW1555" t="str">
        <f>"14:51:16.760"</f>
        <v>14:51:16.760</v>
      </c>
      <c r="CJ1555">
        <v>3</v>
      </c>
      <c r="CK1555">
        <v>2</v>
      </c>
      <c r="CL1555">
        <v>0</v>
      </c>
      <c r="CM1555">
        <v>2</v>
      </c>
      <c r="CN1555">
        <v>0</v>
      </c>
      <c r="CO1555">
        <v>6</v>
      </c>
      <c r="CP1555" t="s">
        <v>119</v>
      </c>
      <c r="CQ1555">
        <v>232</v>
      </c>
      <c r="CR1555">
        <v>2</v>
      </c>
      <c r="CW1555">
        <v>6820359</v>
      </c>
      <c r="CY1555">
        <v>1</v>
      </c>
      <c r="CZ1555">
        <v>0</v>
      </c>
      <c r="DA1555">
        <v>1</v>
      </c>
      <c r="DB1555">
        <v>0</v>
      </c>
      <c r="DC1555">
        <v>0</v>
      </c>
      <c r="DD1555">
        <v>1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>"12/16/2021 14:51:16.993"</f>
        <v>12/16/2021 14:51:16.993</v>
      </c>
      <c r="C1556" t="str">
        <f t="shared" si="76"/>
        <v>FFDFD3C0</v>
      </c>
      <c r="D1556" t="s">
        <v>124</v>
      </c>
      <c r="E1556">
        <v>10</v>
      </c>
      <c r="F1556">
        <v>1010</v>
      </c>
      <c r="G1556" t="s">
        <v>130</v>
      </c>
      <c r="J1556" t="s">
        <v>125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"14:51:16.758"</f>
        <v>14:51:16.758</v>
      </c>
      <c r="T1556" t="str">
        <f>"14:51:16.258"</f>
        <v>14:51:16.258</v>
      </c>
      <c r="U1556" t="str">
        <f t="shared" si="78"/>
        <v>A0F928</v>
      </c>
      <c r="V1556">
        <v>0</v>
      </c>
      <c r="W1556">
        <v>0</v>
      </c>
      <c r="X1556">
        <v>2</v>
      </c>
      <c r="Z1556">
        <v>0</v>
      </c>
      <c r="AA1556">
        <v>9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2</v>
      </c>
      <c r="AH1556">
        <v>1</v>
      </c>
      <c r="AI1556" t="s">
        <v>848</v>
      </c>
      <c r="AJ1556">
        <v>35.810665999999998</v>
      </c>
      <c r="AK1556" t="s">
        <v>849</v>
      </c>
      <c r="AL1556">
        <v>-84.036890999999997</v>
      </c>
      <c r="AM1556">
        <v>25</v>
      </c>
      <c r="AN1556">
        <v>1500</v>
      </c>
      <c r="AO1556" t="s">
        <v>118</v>
      </c>
      <c r="AP1556">
        <v>103</v>
      </c>
      <c r="AQ1556">
        <v>103</v>
      </c>
      <c r="AR1556">
        <v>320</v>
      </c>
      <c r="AZ1556">
        <v>300</v>
      </c>
      <c r="BA1556">
        <v>1</v>
      </c>
      <c r="BB1556" t="str">
        <f t="shared" si="77"/>
        <v xml:space="preserve">N162AM  </v>
      </c>
      <c r="BC1556">
        <v>1</v>
      </c>
      <c r="BE1556">
        <v>0</v>
      </c>
      <c r="BF1556">
        <v>0</v>
      </c>
      <c r="BG1556">
        <v>0</v>
      </c>
      <c r="BH1556">
        <v>1750</v>
      </c>
      <c r="BI1556">
        <v>1</v>
      </c>
      <c r="BJ1556">
        <v>1</v>
      </c>
      <c r="BK1556">
        <v>1</v>
      </c>
      <c r="BL1556">
        <v>0</v>
      </c>
      <c r="BO1556">
        <v>0</v>
      </c>
      <c r="BP1556">
        <v>0</v>
      </c>
      <c r="BW1556" t="str">
        <f>"14:51:16.760"</f>
        <v>14:51:16.760</v>
      </c>
      <c r="CJ1556">
        <v>3</v>
      </c>
      <c r="CK1556">
        <v>2</v>
      </c>
      <c r="CL1556">
        <v>0</v>
      </c>
      <c r="CM1556">
        <v>2</v>
      </c>
      <c r="CN1556">
        <v>0</v>
      </c>
      <c r="CO1556">
        <v>6</v>
      </c>
      <c r="CP1556" t="s">
        <v>119</v>
      </c>
      <c r="CQ1556">
        <v>232</v>
      </c>
      <c r="CR1556">
        <v>2</v>
      </c>
      <c r="CW1556">
        <v>6820359</v>
      </c>
      <c r="CY1556">
        <v>1</v>
      </c>
      <c r="CZ1556">
        <v>0</v>
      </c>
      <c r="DA1556">
        <v>1</v>
      </c>
      <c r="DB1556">
        <v>0</v>
      </c>
      <c r="DC1556">
        <v>0</v>
      </c>
      <c r="DD1556">
        <v>1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>"12/16/2021 14:51:17.008"</f>
        <v>12/16/2021 14:51:17.008</v>
      </c>
      <c r="C1557" t="str">
        <f t="shared" si="76"/>
        <v>FFDFD3C0</v>
      </c>
      <c r="D1557" t="s">
        <v>113</v>
      </c>
      <c r="E1557">
        <v>8</v>
      </c>
      <c r="H1557">
        <v>176</v>
      </c>
      <c r="I1557" t="s">
        <v>114</v>
      </c>
      <c r="J1557" t="s">
        <v>115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"14:51:16.758"</f>
        <v>14:51:16.758</v>
      </c>
      <c r="T1557" t="str">
        <f>"14:51:16.258"</f>
        <v>14:51:16.258</v>
      </c>
      <c r="U1557" t="str">
        <f t="shared" si="78"/>
        <v>A0F928</v>
      </c>
      <c r="V1557">
        <v>0</v>
      </c>
      <c r="W1557">
        <v>0</v>
      </c>
      <c r="X1557">
        <v>2</v>
      </c>
      <c r="Z1557">
        <v>0</v>
      </c>
      <c r="AA1557">
        <v>9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2</v>
      </c>
      <c r="AH1557">
        <v>1</v>
      </c>
      <c r="AI1557" t="s">
        <v>848</v>
      </c>
      <c r="AJ1557">
        <v>35.810665999999998</v>
      </c>
      <c r="AK1557" t="s">
        <v>849</v>
      </c>
      <c r="AL1557">
        <v>-84.036890999999997</v>
      </c>
      <c r="AM1557">
        <v>25</v>
      </c>
      <c r="AN1557">
        <v>1500</v>
      </c>
      <c r="AO1557" t="s">
        <v>118</v>
      </c>
      <c r="AP1557">
        <v>103</v>
      </c>
      <c r="AQ1557">
        <v>103</v>
      </c>
      <c r="AR1557">
        <v>320</v>
      </c>
      <c r="AZ1557">
        <v>300</v>
      </c>
      <c r="BA1557">
        <v>1</v>
      </c>
      <c r="BB1557" t="str">
        <f t="shared" si="77"/>
        <v xml:space="preserve">N162AM  </v>
      </c>
      <c r="BC1557">
        <v>1</v>
      </c>
      <c r="BE1557">
        <v>0</v>
      </c>
      <c r="BF1557">
        <v>0</v>
      </c>
      <c r="BG1557">
        <v>0</v>
      </c>
      <c r="BH1557">
        <v>1750</v>
      </c>
      <c r="BI1557">
        <v>1</v>
      </c>
      <c r="BJ1557">
        <v>1</v>
      </c>
      <c r="BK1557">
        <v>1</v>
      </c>
      <c r="BL1557">
        <v>0</v>
      </c>
      <c r="BO1557">
        <v>0</v>
      </c>
      <c r="BP1557">
        <v>0</v>
      </c>
      <c r="BW1557" t="str">
        <f>"14:51:16.760"</f>
        <v>14:51:16.760</v>
      </c>
      <c r="CJ1557">
        <v>3</v>
      </c>
      <c r="CK1557">
        <v>2</v>
      </c>
      <c r="CL1557">
        <v>0</v>
      </c>
      <c r="CM1557">
        <v>2</v>
      </c>
      <c r="CN1557">
        <v>0</v>
      </c>
      <c r="CO1557">
        <v>6</v>
      </c>
      <c r="CP1557" t="s">
        <v>119</v>
      </c>
      <c r="CQ1557">
        <v>232</v>
      </c>
      <c r="CR1557">
        <v>2</v>
      </c>
      <c r="CW1557">
        <v>6820359</v>
      </c>
      <c r="CY1557">
        <v>1</v>
      </c>
      <c r="CZ1557">
        <v>0</v>
      </c>
      <c r="DA1557">
        <v>1</v>
      </c>
      <c r="DB1557">
        <v>0</v>
      </c>
      <c r="DC1557">
        <v>0</v>
      </c>
      <c r="DD1557">
        <v>1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>"12/16/2021 14:51:18.009"</f>
        <v>12/16/2021 14:51:18.009</v>
      </c>
      <c r="C1558" t="str">
        <f t="shared" si="76"/>
        <v>FFDFD3C0</v>
      </c>
      <c r="D1558" t="s">
        <v>133</v>
      </c>
      <c r="E1558">
        <v>44</v>
      </c>
      <c r="H1558">
        <v>131</v>
      </c>
      <c r="I1558" t="s">
        <v>134</v>
      </c>
      <c r="J1558" t="s">
        <v>135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"14:51:17.773"</f>
        <v>14:51:17.773</v>
      </c>
      <c r="T1558" t="str">
        <f>"14:51:17.273"</f>
        <v>14:51:17.273</v>
      </c>
      <c r="U1558" t="str">
        <f t="shared" si="78"/>
        <v>A0F928</v>
      </c>
      <c r="V1558">
        <v>0</v>
      </c>
      <c r="W1558">
        <v>0</v>
      </c>
      <c r="X1558">
        <v>2</v>
      </c>
      <c r="Z1558">
        <v>0</v>
      </c>
      <c r="AA1558">
        <v>9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2</v>
      </c>
      <c r="AH1558">
        <v>1</v>
      </c>
      <c r="AI1558" t="s">
        <v>850</v>
      </c>
      <c r="AJ1558">
        <v>35.811117000000003</v>
      </c>
      <c r="AK1558" t="s">
        <v>851</v>
      </c>
      <c r="AL1558">
        <v>-84.036311999999995</v>
      </c>
      <c r="AM1558">
        <v>25</v>
      </c>
      <c r="AN1558">
        <v>1500</v>
      </c>
      <c r="AO1558" t="s">
        <v>118</v>
      </c>
      <c r="AP1558">
        <v>104</v>
      </c>
      <c r="AQ1558">
        <v>102</v>
      </c>
      <c r="AR1558">
        <v>448</v>
      </c>
      <c r="AZ1558">
        <v>300</v>
      </c>
      <c r="BA1558">
        <v>1</v>
      </c>
      <c r="BB1558" t="str">
        <f t="shared" si="77"/>
        <v xml:space="preserve">N162AM  </v>
      </c>
      <c r="BC1558">
        <v>1</v>
      </c>
      <c r="BE1558">
        <v>0</v>
      </c>
      <c r="BF1558">
        <v>0</v>
      </c>
      <c r="BG1558">
        <v>0</v>
      </c>
      <c r="BH1558">
        <v>1775</v>
      </c>
      <c r="BI1558">
        <v>1</v>
      </c>
      <c r="BJ1558">
        <v>1</v>
      </c>
      <c r="BK1558">
        <v>1</v>
      </c>
      <c r="BL1558">
        <v>0</v>
      </c>
      <c r="BO1558">
        <v>0</v>
      </c>
      <c r="BP1558">
        <v>0</v>
      </c>
      <c r="BW1558" t="str">
        <f>"14:51:17.779"</f>
        <v>14:51:17.779</v>
      </c>
      <c r="CJ1558">
        <v>3</v>
      </c>
      <c r="CK1558">
        <v>2</v>
      </c>
      <c r="CL1558">
        <v>0</v>
      </c>
      <c r="CM1558">
        <v>2</v>
      </c>
      <c r="CN1558">
        <v>0</v>
      </c>
      <c r="CO1558">
        <v>6</v>
      </c>
      <c r="CP1558" t="s">
        <v>119</v>
      </c>
      <c r="CQ1558">
        <v>232</v>
      </c>
      <c r="CR1558">
        <v>2</v>
      </c>
      <c r="CW1558">
        <v>6821902</v>
      </c>
      <c r="CY1558">
        <v>1</v>
      </c>
      <c r="CZ1558">
        <v>0</v>
      </c>
      <c r="DA1558">
        <v>0</v>
      </c>
      <c r="DB1558">
        <v>0</v>
      </c>
      <c r="DC1558">
        <v>0</v>
      </c>
      <c r="DD1558">
        <v>1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>"12/16/2021 14:51:18.024"</f>
        <v>12/16/2021 14:51:18.024</v>
      </c>
      <c r="C1559" t="str">
        <f t="shared" si="76"/>
        <v>FFDFD3C0</v>
      </c>
      <c r="D1559" t="s">
        <v>113</v>
      </c>
      <c r="E1559">
        <v>8</v>
      </c>
      <c r="H1559">
        <v>176</v>
      </c>
      <c r="I1559" t="s">
        <v>114</v>
      </c>
      <c r="J1559" t="s">
        <v>115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"14:51:17.773"</f>
        <v>14:51:17.773</v>
      </c>
      <c r="T1559" t="str">
        <f>"14:51:17.273"</f>
        <v>14:51:17.273</v>
      </c>
      <c r="U1559" t="str">
        <f t="shared" si="78"/>
        <v>A0F928</v>
      </c>
      <c r="V1559">
        <v>0</v>
      </c>
      <c r="W1559">
        <v>0</v>
      </c>
      <c r="X1559">
        <v>2</v>
      </c>
      <c r="Z1559">
        <v>0</v>
      </c>
      <c r="AA1559">
        <v>9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2</v>
      </c>
      <c r="AH1559">
        <v>1</v>
      </c>
      <c r="AI1559" t="s">
        <v>850</v>
      </c>
      <c r="AJ1559">
        <v>35.811117000000003</v>
      </c>
      <c r="AK1559" t="s">
        <v>851</v>
      </c>
      <c r="AL1559">
        <v>-84.036311999999995</v>
      </c>
      <c r="AM1559">
        <v>25</v>
      </c>
      <c r="AN1559">
        <v>1500</v>
      </c>
      <c r="AO1559" t="s">
        <v>118</v>
      </c>
      <c r="AP1559">
        <v>104</v>
      </c>
      <c r="AQ1559">
        <v>102</v>
      </c>
      <c r="AR1559">
        <v>448</v>
      </c>
      <c r="AZ1559">
        <v>300</v>
      </c>
      <c r="BA1559">
        <v>1</v>
      </c>
      <c r="BB1559" t="str">
        <f t="shared" si="77"/>
        <v xml:space="preserve">N162AM  </v>
      </c>
      <c r="BC1559">
        <v>1</v>
      </c>
      <c r="BE1559">
        <v>0</v>
      </c>
      <c r="BF1559">
        <v>0</v>
      </c>
      <c r="BG1559">
        <v>0</v>
      </c>
      <c r="BH1559">
        <v>1775</v>
      </c>
      <c r="BI1559">
        <v>1</v>
      </c>
      <c r="BJ1559">
        <v>1</v>
      </c>
      <c r="BK1559">
        <v>1</v>
      </c>
      <c r="BL1559">
        <v>0</v>
      </c>
      <c r="BO1559">
        <v>0</v>
      </c>
      <c r="BP1559">
        <v>0</v>
      </c>
      <c r="BW1559" t="str">
        <f>"14:51:17.779"</f>
        <v>14:51:17.779</v>
      </c>
      <c r="CJ1559">
        <v>3</v>
      </c>
      <c r="CK1559">
        <v>2</v>
      </c>
      <c r="CL1559">
        <v>0</v>
      </c>
      <c r="CM1559">
        <v>2</v>
      </c>
      <c r="CN1559">
        <v>0</v>
      </c>
      <c r="CO1559">
        <v>6</v>
      </c>
      <c r="CP1559" t="s">
        <v>119</v>
      </c>
      <c r="CQ1559">
        <v>232</v>
      </c>
      <c r="CR1559">
        <v>2</v>
      </c>
      <c r="CW1559">
        <v>6821902</v>
      </c>
      <c r="CY1559">
        <v>1</v>
      </c>
      <c r="CZ1559">
        <v>0</v>
      </c>
      <c r="DA1559">
        <v>1</v>
      </c>
      <c r="DB1559">
        <v>0</v>
      </c>
      <c r="DC1559">
        <v>0</v>
      </c>
      <c r="DD1559">
        <v>1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>"12/16/2021 14:51:18.024"</f>
        <v>12/16/2021 14:51:18.024</v>
      </c>
      <c r="C1560" t="str">
        <f t="shared" si="76"/>
        <v>FFDFD3C0</v>
      </c>
      <c r="D1560" t="s">
        <v>124</v>
      </c>
      <c r="E1560">
        <v>5</v>
      </c>
      <c r="F1560">
        <v>1005</v>
      </c>
      <c r="G1560" t="s">
        <v>114</v>
      </c>
      <c r="J1560" t="s">
        <v>125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"14:51:17.773"</f>
        <v>14:51:17.773</v>
      </c>
      <c r="T1560" t="str">
        <f>"14:51:17.273"</f>
        <v>14:51:17.273</v>
      </c>
      <c r="U1560" t="str">
        <f t="shared" si="78"/>
        <v>A0F928</v>
      </c>
      <c r="V1560">
        <v>0</v>
      </c>
      <c r="W1560">
        <v>0</v>
      </c>
      <c r="X1560">
        <v>2</v>
      </c>
      <c r="Z1560">
        <v>0</v>
      </c>
      <c r="AA1560">
        <v>9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2</v>
      </c>
      <c r="AH1560">
        <v>1</v>
      </c>
      <c r="AI1560" t="s">
        <v>850</v>
      </c>
      <c r="AJ1560">
        <v>35.811117000000003</v>
      </c>
      <c r="AK1560" t="s">
        <v>851</v>
      </c>
      <c r="AL1560">
        <v>-84.036311999999995</v>
      </c>
      <c r="AM1560">
        <v>25</v>
      </c>
      <c r="AN1560">
        <v>1500</v>
      </c>
      <c r="AO1560" t="s">
        <v>118</v>
      </c>
      <c r="AP1560">
        <v>104</v>
      </c>
      <c r="AQ1560">
        <v>102</v>
      </c>
      <c r="AR1560">
        <v>448</v>
      </c>
      <c r="AZ1560">
        <v>300</v>
      </c>
      <c r="BA1560">
        <v>1</v>
      </c>
      <c r="BB1560" t="str">
        <f t="shared" si="77"/>
        <v xml:space="preserve">N162AM  </v>
      </c>
      <c r="BC1560">
        <v>1</v>
      </c>
      <c r="BE1560">
        <v>0</v>
      </c>
      <c r="BF1560">
        <v>0</v>
      </c>
      <c r="BG1560">
        <v>0</v>
      </c>
      <c r="BH1560">
        <v>1775</v>
      </c>
      <c r="BI1560">
        <v>1</v>
      </c>
      <c r="BJ1560">
        <v>1</v>
      </c>
      <c r="BK1560">
        <v>1</v>
      </c>
      <c r="BL1560">
        <v>0</v>
      </c>
      <c r="BO1560">
        <v>0</v>
      </c>
      <c r="BP1560">
        <v>0</v>
      </c>
      <c r="BW1560" t="str">
        <f>"14:51:17.779"</f>
        <v>14:51:17.779</v>
      </c>
      <c r="CJ1560">
        <v>3</v>
      </c>
      <c r="CK1560">
        <v>2</v>
      </c>
      <c r="CL1560">
        <v>0</v>
      </c>
      <c r="CM1560">
        <v>2</v>
      </c>
      <c r="CN1560">
        <v>0</v>
      </c>
      <c r="CO1560">
        <v>6</v>
      </c>
      <c r="CP1560" t="s">
        <v>119</v>
      </c>
      <c r="CQ1560">
        <v>232</v>
      </c>
      <c r="CR1560">
        <v>2</v>
      </c>
      <c r="CW1560">
        <v>6821902</v>
      </c>
      <c r="CY1560">
        <v>1</v>
      </c>
      <c r="CZ1560">
        <v>0</v>
      </c>
      <c r="DA1560">
        <v>1</v>
      </c>
      <c r="DB1560">
        <v>0</v>
      </c>
      <c r="DC1560">
        <v>0</v>
      </c>
      <c r="DD1560">
        <v>1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>"12/16/2021 14:51:18.009"</f>
        <v>12/16/2021 14:51:18.009</v>
      </c>
      <c r="C1561" t="str">
        <f t="shared" si="76"/>
        <v>FFDFD3C0</v>
      </c>
      <c r="D1561" t="s">
        <v>124</v>
      </c>
      <c r="E1561">
        <v>10</v>
      </c>
      <c r="F1561">
        <v>1010</v>
      </c>
      <c r="G1561" t="s">
        <v>130</v>
      </c>
      <c r="J1561" t="s">
        <v>125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"14:51:17.773"</f>
        <v>14:51:17.773</v>
      </c>
      <c r="T1561" t="str">
        <f>"14:51:17.273"</f>
        <v>14:51:17.273</v>
      </c>
      <c r="U1561" t="str">
        <f t="shared" si="78"/>
        <v>A0F928</v>
      </c>
      <c r="V1561">
        <v>0</v>
      </c>
      <c r="W1561">
        <v>0</v>
      </c>
      <c r="X1561">
        <v>2</v>
      </c>
      <c r="Z1561">
        <v>0</v>
      </c>
      <c r="AA1561">
        <v>9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2</v>
      </c>
      <c r="AH1561">
        <v>1</v>
      </c>
      <c r="AI1561" t="s">
        <v>850</v>
      </c>
      <c r="AJ1561">
        <v>35.811117000000003</v>
      </c>
      <c r="AK1561" t="s">
        <v>851</v>
      </c>
      <c r="AL1561">
        <v>-84.036311999999995</v>
      </c>
      <c r="AM1561">
        <v>25</v>
      </c>
      <c r="AN1561">
        <v>1500</v>
      </c>
      <c r="AO1561" t="s">
        <v>118</v>
      </c>
      <c r="AP1561">
        <v>104</v>
      </c>
      <c r="AQ1561">
        <v>102</v>
      </c>
      <c r="AR1561">
        <v>448</v>
      </c>
      <c r="AZ1561">
        <v>300</v>
      </c>
      <c r="BA1561">
        <v>1</v>
      </c>
      <c r="BB1561" t="str">
        <f t="shared" si="77"/>
        <v xml:space="preserve">N162AM  </v>
      </c>
      <c r="BC1561">
        <v>1</v>
      </c>
      <c r="BE1561">
        <v>0</v>
      </c>
      <c r="BF1561">
        <v>0</v>
      </c>
      <c r="BG1561">
        <v>0</v>
      </c>
      <c r="BH1561">
        <v>1775</v>
      </c>
      <c r="BI1561">
        <v>1</v>
      </c>
      <c r="BJ1561">
        <v>1</v>
      </c>
      <c r="BK1561">
        <v>1</v>
      </c>
      <c r="BL1561">
        <v>0</v>
      </c>
      <c r="BO1561">
        <v>0</v>
      </c>
      <c r="BP1561">
        <v>0</v>
      </c>
      <c r="BW1561" t="str">
        <f>"14:51:17.779"</f>
        <v>14:51:17.779</v>
      </c>
      <c r="CJ1561">
        <v>3</v>
      </c>
      <c r="CK1561">
        <v>2</v>
      </c>
      <c r="CL1561">
        <v>0</v>
      </c>
      <c r="CM1561">
        <v>2</v>
      </c>
      <c r="CN1561">
        <v>0</v>
      </c>
      <c r="CO1561">
        <v>6</v>
      </c>
      <c r="CP1561" t="s">
        <v>119</v>
      </c>
      <c r="CQ1561">
        <v>232</v>
      </c>
      <c r="CR1561">
        <v>2</v>
      </c>
      <c r="CW1561">
        <v>6821902</v>
      </c>
      <c r="CY1561">
        <v>1</v>
      </c>
      <c r="CZ1561">
        <v>0</v>
      </c>
      <c r="DA1561">
        <v>1</v>
      </c>
      <c r="DB1561">
        <v>0</v>
      </c>
      <c r="DC1561">
        <v>0</v>
      </c>
      <c r="DD1561">
        <v>1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>"12/16/2021 14:51:18.993"</f>
        <v>12/16/2021 14:51:18.993</v>
      </c>
      <c r="C1562" t="str">
        <f t="shared" si="76"/>
        <v>FFDFD3C0</v>
      </c>
      <c r="D1562" t="s">
        <v>124</v>
      </c>
      <c r="E1562">
        <v>10</v>
      </c>
      <c r="F1562">
        <v>1010</v>
      </c>
      <c r="G1562" t="s">
        <v>130</v>
      </c>
      <c r="J1562" t="s">
        <v>125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>"14:51:18.773"</f>
        <v>14:51:18.773</v>
      </c>
      <c r="T1562" t="str">
        <f>"14:51:18.373"</f>
        <v>14:51:18.373</v>
      </c>
      <c r="U1562" t="str">
        <f t="shared" si="78"/>
        <v>A0F928</v>
      </c>
      <c r="V1562">
        <v>0</v>
      </c>
      <c r="W1562">
        <v>0</v>
      </c>
      <c r="X1562">
        <v>2</v>
      </c>
      <c r="Z1562">
        <v>0</v>
      </c>
      <c r="AA1562">
        <v>9</v>
      </c>
      <c r="AB1562">
        <v>3</v>
      </c>
      <c r="AC1562">
        <v>0</v>
      </c>
      <c r="AD1562">
        <v>10</v>
      </c>
      <c r="AE1562">
        <v>0</v>
      </c>
      <c r="AF1562">
        <v>3</v>
      </c>
      <c r="AG1562">
        <v>2</v>
      </c>
      <c r="AH1562">
        <v>1</v>
      </c>
      <c r="AI1562" t="s">
        <v>852</v>
      </c>
      <c r="AJ1562">
        <v>35.811588999999998</v>
      </c>
      <c r="AK1562" t="s">
        <v>853</v>
      </c>
      <c r="AL1562">
        <v>-84.035732999999993</v>
      </c>
      <c r="AM1562">
        <v>25</v>
      </c>
      <c r="AN1562">
        <v>1500</v>
      </c>
      <c r="AO1562" t="s">
        <v>118</v>
      </c>
      <c r="AP1562">
        <v>104</v>
      </c>
      <c r="AQ1562">
        <v>102</v>
      </c>
      <c r="AR1562">
        <v>512</v>
      </c>
      <c r="AZ1562">
        <v>300</v>
      </c>
      <c r="BA1562">
        <v>1</v>
      </c>
      <c r="BB1562" t="str">
        <f t="shared" si="77"/>
        <v xml:space="preserve">N162AM  </v>
      </c>
      <c r="BC1562">
        <v>1</v>
      </c>
      <c r="BE1562">
        <v>0</v>
      </c>
      <c r="BF1562">
        <v>0</v>
      </c>
      <c r="BG1562">
        <v>0</v>
      </c>
      <c r="BH1562">
        <v>1775</v>
      </c>
      <c r="BI1562">
        <v>1</v>
      </c>
      <c r="BJ1562">
        <v>1</v>
      </c>
      <c r="BK1562">
        <v>1</v>
      </c>
      <c r="BL1562">
        <v>0</v>
      </c>
      <c r="BO1562">
        <v>0</v>
      </c>
      <c r="BP1562">
        <v>0</v>
      </c>
      <c r="BW1562" t="str">
        <f>"14:51:18.778"</f>
        <v>14:51:18.778</v>
      </c>
      <c r="CJ1562">
        <v>3</v>
      </c>
      <c r="CK1562">
        <v>2</v>
      </c>
      <c r="CL1562">
        <v>0</v>
      </c>
      <c r="CM1562">
        <v>2</v>
      </c>
      <c r="CN1562">
        <v>0</v>
      </c>
      <c r="CO1562">
        <v>7</v>
      </c>
      <c r="CP1562" t="s">
        <v>119</v>
      </c>
      <c r="CQ1562">
        <v>232</v>
      </c>
      <c r="CR1562">
        <v>2</v>
      </c>
      <c r="CW1562">
        <v>6823367</v>
      </c>
      <c r="CY1562">
        <v>1</v>
      </c>
      <c r="CZ1562">
        <v>0</v>
      </c>
      <c r="DA1562">
        <v>0</v>
      </c>
      <c r="DB1562">
        <v>0</v>
      </c>
      <c r="DC1562">
        <v>0</v>
      </c>
      <c r="DD1562">
        <v>1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>"12/16/2021 14:51:18.993"</f>
        <v>12/16/2021 14:51:18.993</v>
      </c>
      <c r="C1563" t="str">
        <f t="shared" si="76"/>
        <v>FFDFD3C0</v>
      </c>
      <c r="D1563" t="s">
        <v>133</v>
      </c>
      <c r="E1563">
        <v>44</v>
      </c>
      <c r="H1563">
        <v>131</v>
      </c>
      <c r="I1563" t="s">
        <v>134</v>
      </c>
      <c r="J1563" t="s">
        <v>135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>"14:51:18.773"</f>
        <v>14:51:18.773</v>
      </c>
      <c r="T1563" t="str">
        <f>"14:51:18.373"</f>
        <v>14:51:18.373</v>
      </c>
      <c r="U1563" t="str">
        <f t="shared" si="78"/>
        <v>A0F928</v>
      </c>
      <c r="V1563">
        <v>0</v>
      </c>
      <c r="W1563">
        <v>0</v>
      </c>
      <c r="X1563">
        <v>2</v>
      </c>
      <c r="Z1563">
        <v>0</v>
      </c>
      <c r="AA1563">
        <v>9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2</v>
      </c>
      <c r="AH1563">
        <v>1</v>
      </c>
      <c r="AI1563" t="s">
        <v>852</v>
      </c>
      <c r="AJ1563">
        <v>35.811588999999998</v>
      </c>
      <c r="AK1563" t="s">
        <v>853</v>
      </c>
      <c r="AL1563">
        <v>-84.035732999999993</v>
      </c>
      <c r="AM1563">
        <v>25</v>
      </c>
      <c r="AN1563">
        <v>1500</v>
      </c>
      <c r="AO1563" t="s">
        <v>118</v>
      </c>
      <c r="AP1563">
        <v>104</v>
      </c>
      <c r="AQ1563">
        <v>102</v>
      </c>
      <c r="AR1563">
        <v>512</v>
      </c>
      <c r="AZ1563">
        <v>300</v>
      </c>
      <c r="BA1563">
        <v>1</v>
      </c>
      <c r="BB1563" t="str">
        <f t="shared" si="77"/>
        <v xml:space="preserve">N162AM  </v>
      </c>
      <c r="BC1563">
        <v>1</v>
      </c>
      <c r="BE1563">
        <v>0</v>
      </c>
      <c r="BF1563">
        <v>0</v>
      </c>
      <c r="BG1563">
        <v>0</v>
      </c>
      <c r="BH1563">
        <v>1775</v>
      </c>
      <c r="BI1563">
        <v>1</v>
      </c>
      <c r="BJ1563">
        <v>1</v>
      </c>
      <c r="BK1563">
        <v>1</v>
      </c>
      <c r="BL1563">
        <v>0</v>
      </c>
      <c r="BO1563">
        <v>0</v>
      </c>
      <c r="BP1563">
        <v>0</v>
      </c>
      <c r="BW1563" t="str">
        <f>"14:51:18.778"</f>
        <v>14:51:18.778</v>
      </c>
      <c r="CJ1563">
        <v>3</v>
      </c>
      <c r="CK1563">
        <v>2</v>
      </c>
      <c r="CL1563">
        <v>0</v>
      </c>
      <c r="CM1563">
        <v>2</v>
      </c>
      <c r="CN1563">
        <v>0</v>
      </c>
      <c r="CO1563">
        <v>7</v>
      </c>
      <c r="CP1563" t="s">
        <v>119</v>
      </c>
      <c r="CQ1563">
        <v>232</v>
      </c>
      <c r="CR1563">
        <v>2</v>
      </c>
      <c r="CW1563">
        <v>6823367</v>
      </c>
      <c r="CY1563">
        <v>1</v>
      </c>
      <c r="CZ1563">
        <v>0</v>
      </c>
      <c r="DA1563">
        <v>1</v>
      </c>
      <c r="DB1563">
        <v>0</v>
      </c>
      <c r="DC1563">
        <v>0</v>
      </c>
      <c r="DD1563">
        <v>1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>"12/16/2021 14:51:18.993"</f>
        <v>12/16/2021 14:51:18.993</v>
      </c>
      <c r="C1564" t="str">
        <f t="shared" si="76"/>
        <v>FFDFD3C0</v>
      </c>
      <c r="D1564" t="s">
        <v>113</v>
      </c>
      <c r="E1564">
        <v>8</v>
      </c>
      <c r="H1564">
        <v>176</v>
      </c>
      <c r="I1564" t="s">
        <v>114</v>
      </c>
      <c r="J1564" t="s">
        <v>115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"14:51:18.773"</f>
        <v>14:51:18.773</v>
      </c>
      <c r="T1564" t="str">
        <f>"14:51:18.373"</f>
        <v>14:51:18.373</v>
      </c>
      <c r="U1564" t="str">
        <f t="shared" si="78"/>
        <v>A0F928</v>
      </c>
      <c r="V1564">
        <v>0</v>
      </c>
      <c r="W1564">
        <v>0</v>
      </c>
      <c r="X1564">
        <v>2</v>
      </c>
      <c r="Z1564">
        <v>0</v>
      </c>
      <c r="AA1564">
        <v>9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2</v>
      </c>
      <c r="AH1564">
        <v>1</v>
      </c>
      <c r="AI1564" t="s">
        <v>852</v>
      </c>
      <c r="AJ1564">
        <v>35.811588999999998</v>
      </c>
      <c r="AK1564" t="s">
        <v>853</v>
      </c>
      <c r="AL1564">
        <v>-84.035732999999993</v>
      </c>
      <c r="AM1564">
        <v>25</v>
      </c>
      <c r="AN1564">
        <v>1500</v>
      </c>
      <c r="AO1564" t="s">
        <v>118</v>
      </c>
      <c r="AP1564">
        <v>104</v>
      </c>
      <c r="AQ1564">
        <v>102</v>
      </c>
      <c r="AR1564">
        <v>512</v>
      </c>
      <c r="AZ1564">
        <v>300</v>
      </c>
      <c r="BA1564">
        <v>1</v>
      </c>
      <c r="BB1564" t="str">
        <f t="shared" si="77"/>
        <v xml:space="preserve">N162AM  </v>
      </c>
      <c r="BC1564">
        <v>1</v>
      </c>
      <c r="BE1564">
        <v>0</v>
      </c>
      <c r="BF1564">
        <v>0</v>
      </c>
      <c r="BG1564">
        <v>0</v>
      </c>
      <c r="BH1564">
        <v>1775</v>
      </c>
      <c r="BI1564">
        <v>1</v>
      </c>
      <c r="BJ1564">
        <v>1</v>
      </c>
      <c r="BK1564">
        <v>1</v>
      </c>
      <c r="BL1564">
        <v>0</v>
      </c>
      <c r="BO1564">
        <v>0</v>
      </c>
      <c r="BP1564">
        <v>0</v>
      </c>
      <c r="BW1564" t="str">
        <f>"14:51:18.778"</f>
        <v>14:51:18.778</v>
      </c>
      <c r="CJ1564">
        <v>3</v>
      </c>
      <c r="CK1564">
        <v>2</v>
      </c>
      <c r="CL1564">
        <v>0</v>
      </c>
      <c r="CM1564">
        <v>2</v>
      </c>
      <c r="CN1564">
        <v>0</v>
      </c>
      <c r="CO1564">
        <v>7</v>
      </c>
      <c r="CP1564" t="s">
        <v>119</v>
      </c>
      <c r="CQ1564">
        <v>232</v>
      </c>
      <c r="CR1564">
        <v>2</v>
      </c>
      <c r="CW1564">
        <v>6823367</v>
      </c>
      <c r="CY1564">
        <v>1</v>
      </c>
      <c r="CZ1564">
        <v>0</v>
      </c>
      <c r="DA1564">
        <v>1</v>
      </c>
      <c r="DB1564">
        <v>0</v>
      </c>
      <c r="DC1564">
        <v>0</v>
      </c>
      <c r="DD1564">
        <v>1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>"12/16/2021 14:51:18.993"</f>
        <v>12/16/2021 14:51:18.993</v>
      </c>
      <c r="C1565" t="str">
        <f t="shared" si="76"/>
        <v>FFDFD3C0</v>
      </c>
      <c r="D1565" t="s">
        <v>124</v>
      </c>
      <c r="E1565">
        <v>5</v>
      </c>
      <c r="F1565">
        <v>1005</v>
      </c>
      <c r="G1565" t="s">
        <v>114</v>
      </c>
      <c r="J1565" t="s">
        <v>125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"14:51:18.773"</f>
        <v>14:51:18.773</v>
      </c>
      <c r="T1565" t="str">
        <f>"14:51:18.373"</f>
        <v>14:51:18.373</v>
      </c>
      <c r="U1565" t="str">
        <f t="shared" si="78"/>
        <v>A0F928</v>
      </c>
      <c r="V1565">
        <v>0</v>
      </c>
      <c r="W1565">
        <v>0</v>
      </c>
      <c r="X1565">
        <v>2</v>
      </c>
      <c r="Z1565">
        <v>0</v>
      </c>
      <c r="AA1565">
        <v>9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2</v>
      </c>
      <c r="AH1565">
        <v>1</v>
      </c>
      <c r="AI1565" t="s">
        <v>852</v>
      </c>
      <c r="AJ1565">
        <v>35.811588999999998</v>
      </c>
      <c r="AK1565" t="s">
        <v>853</v>
      </c>
      <c r="AL1565">
        <v>-84.035732999999993</v>
      </c>
      <c r="AM1565">
        <v>25</v>
      </c>
      <c r="AN1565">
        <v>1500</v>
      </c>
      <c r="AO1565" t="s">
        <v>118</v>
      </c>
      <c r="AP1565">
        <v>104</v>
      </c>
      <c r="AQ1565">
        <v>102</v>
      </c>
      <c r="AR1565">
        <v>512</v>
      </c>
      <c r="AZ1565">
        <v>300</v>
      </c>
      <c r="BA1565">
        <v>1</v>
      </c>
      <c r="BB1565" t="str">
        <f t="shared" si="77"/>
        <v xml:space="preserve">N162AM  </v>
      </c>
      <c r="BC1565">
        <v>1</v>
      </c>
      <c r="BE1565">
        <v>0</v>
      </c>
      <c r="BF1565">
        <v>0</v>
      </c>
      <c r="BG1565">
        <v>0</v>
      </c>
      <c r="BH1565">
        <v>1775</v>
      </c>
      <c r="BI1565">
        <v>1</v>
      </c>
      <c r="BJ1565">
        <v>1</v>
      </c>
      <c r="BK1565">
        <v>1</v>
      </c>
      <c r="BL1565">
        <v>0</v>
      </c>
      <c r="BO1565">
        <v>0</v>
      </c>
      <c r="BP1565">
        <v>0</v>
      </c>
      <c r="BW1565" t="str">
        <f>"14:51:18.778"</f>
        <v>14:51:18.778</v>
      </c>
      <c r="CJ1565">
        <v>3</v>
      </c>
      <c r="CK1565">
        <v>2</v>
      </c>
      <c r="CL1565">
        <v>0</v>
      </c>
      <c r="CM1565">
        <v>2</v>
      </c>
      <c r="CN1565">
        <v>0</v>
      </c>
      <c r="CO1565">
        <v>7</v>
      </c>
      <c r="CP1565" t="s">
        <v>119</v>
      </c>
      <c r="CQ1565">
        <v>232</v>
      </c>
      <c r="CR1565">
        <v>2</v>
      </c>
      <c r="CW1565">
        <v>6823367</v>
      </c>
      <c r="CY1565">
        <v>1</v>
      </c>
      <c r="CZ1565">
        <v>0</v>
      </c>
      <c r="DA1565">
        <v>1</v>
      </c>
      <c r="DB1565">
        <v>0</v>
      </c>
      <c r="DC1565">
        <v>0</v>
      </c>
      <c r="DD1565">
        <v>1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>"12/16/2021 14:51:19.929"</f>
        <v>12/16/2021 14:51:19.929</v>
      </c>
      <c r="C1566" t="str">
        <f t="shared" si="76"/>
        <v>FFDFD3C0</v>
      </c>
      <c r="D1566" t="s">
        <v>113</v>
      </c>
      <c r="E1566">
        <v>8</v>
      </c>
      <c r="H1566">
        <v>176</v>
      </c>
      <c r="I1566" t="s">
        <v>114</v>
      </c>
      <c r="J1566" t="s">
        <v>115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"14:51:19.711"</f>
        <v>14:51:19.711</v>
      </c>
      <c r="T1566" t="str">
        <f>"14:51:19.211"</f>
        <v>14:51:19.211</v>
      </c>
      <c r="U1566" t="str">
        <f t="shared" si="78"/>
        <v>A0F928</v>
      </c>
      <c r="V1566">
        <v>0</v>
      </c>
      <c r="W1566">
        <v>0</v>
      </c>
      <c r="X1566">
        <v>2</v>
      </c>
      <c r="Z1566">
        <v>0</v>
      </c>
      <c r="AA1566">
        <v>9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2</v>
      </c>
      <c r="AH1566">
        <v>1</v>
      </c>
      <c r="AI1566" t="s">
        <v>854</v>
      </c>
      <c r="AJ1566">
        <v>35.812038999999999</v>
      </c>
      <c r="AK1566" t="s">
        <v>855</v>
      </c>
      <c r="AL1566">
        <v>-84.035174999999995</v>
      </c>
      <c r="AM1566">
        <v>25</v>
      </c>
      <c r="AN1566">
        <v>1525</v>
      </c>
      <c r="AO1566" t="s">
        <v>118</v>
      </c>
      <c r="AP1566">
        <v>104</v>
      </c>
      <c r="AQ1566">
        <v>101</v>
      </c>
      <c r="AR1566">
        <v>576</v>
      </c>
      <c r="AZ1566">
        <v>300</v>
      </c>
      <c r="BA1566">
        <v>1</v>
      </c>
      <c r="BB1566" t="str">
        <f t="shared" si="77"/>
        <v xml:space="preserve">N162AM  </v>
      </c>
      <c r="BC1566">
        <v>1</v>
      </c>
      <c r="BE1566">
        <v>0</v>
      </c>
      <c r="BF1566">
        <v>0</v>
      </c>
      <c r="BG1566">
        <v>0</v>
      </c>
      <c r="BH1566">
        <v>1775</v>
      </c>
      <c r="BI1566">
        <v>1</v>
      </c>
      <c r="BJ1566">
        <v>1</v>
      </c>
      <c r="BK1566">
        <v>1</v>
      </c>
      <c r="BL1566">
        <v>0</v>
      </c>
      <c r="BO1566">
        <v>0</v>
      </c>
      <c r="BP1566">
        <v>0</v>
      </c>
      <c r="BW1566" t="str">
        <f>"14:51:19.717"</f>
        <v>14:51:19.717</v>
      </c>
      <c r="CJ1566">
        <v>3</v>
      </c>
      <c r="CK1566">
        <v>2</v>
      </c>
      <c r="CL1566">
        <v>0</v>
      </c>
      <c r="CM1566">
        <v>2</v>
      </c>
      <c r="CN1566">
        <v>0</v>
      </c>
      <c r="CO1566">
        <v>6</v>
      </c>
      <c r="CP1566" t="s">
        <v>119</v>
      </c>
      <c r="CQ1566">
        <v>232</v>
      </c>
      <c r="CR1566">
        <v>1</v>
      </c>
      <c r="CW1566">
        <v>15620105</v>
      </c>
      <c r="CY1566">
        <v>1</v>
      </c>
      <c r="CZ1566">
        <v>0</v>
      </c>
      <c r="DA1566">
        <v>0</v>
      </c>
      <c r="DB1566">
        <v>0</v>
      </c>
      <c r="DC1566">
        <v>0</v>
      </c>
      <c r="DD1566">
        <v>1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>"12/16/2021 14:51:19.929"</f>
        <v>12/16/2021 14:51:19.929</v>
      </c>
      <c r="C1567" t="str">
        <f t="shared" si="76"/>
        <v>FFDFD3C0</v>
      </c>
      <c r="D1567" t="s">
        <v>124</v>
      </c>
      <c r="E1567">
        <v>5</v>
      </c>
      <c r="F1567">
        <v>1005</v>
      </c>
      <c r="G1567" t="s">
        <v>114</v>
      </c>
      <c r="J1567" t="s">
        <v>125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"14:51:19.711"</f>
        <v>14:51:19.711</v>
      </c>
      <c r="T1567" t="str">
        <f>"14:51:19.211"</f>
        <v>14:51:19.211</v>
      </c>
      <c r="U1567" t="str">
        <f t="shared" si="78"/>
        <v>A0F928</v>
      </c>
      <c r="V1567">
        <v>0</v>
      </c>
      <c r="W1567">
        <v>0</v>
      </c>
      <c r="X1567">
        <v>2</v>
      </c>
      <c r="Z1567">
        <v>0</v>
      </c>
      <c r="AA1567">
        <v>9</v>
      </c>
      <c r="AB1567">
        <v>3</v>
      </c>
      <c r="AC1567">
        <v>0</v>
      </c>
      <c r="AD1567">
        <v>10</v>
      </c>
      <c r="AE1567">
        <v>0</v>
      </c>
      <c r="AF1567">
        <v>3</v>
      </c>
      <c r="AG1567">
        <v>2</v>
      </c>
      <c r="AH1567">
        <v>1</v>
      </c>
      <c r="AI1567" t="s">
        <v>854</v>
      </c>
      <c r="AJ1567">
        <v>35.812038999999999</v>
      </c>
      <c r="AK1567" t="s">
        <v>855</v>
      </c>
      <c r="AL1567">
        <v>-84.035174999999995</v>
      </c>
      <c r="AM1567">
        <v>25</v>
      </c>
      <c r="AN1567">
        <v>1525</v>
      </c>
      <c r="AO1567" t="s">
        <v>118</v>
      </c>
      <c r="AP1567">
        <v>104</v>
      </c>
      <c r="AQ1567">
        <v>101</v>
      </c>
      <c r="AR1567">
        <v>576</v>
      </c>
      <c r="AZ1567">
        <v>300</v>
      </c>
      <c r="BA1567">
        <v>1</v>
      </c>
      <c r="BB1567" t="str">
        <f t="shared" si="77"/>
        <v xml:space="preserve">N162AM  </v>
      </c>
      <c r="BC1567">
        <v>1</v>
      </c>
      <c r="BE1567">
        <v>0</v>
      </c>
      <c r="BF1567">
        <v>0</v>
      </c>
      <c r="BG1567">
        <v>0</v>
      </c>
      <c r="BH1567">
        <v>1775</v>
      </c>
      <c r="BI1567">
        <v>1</v>
      </c>
      <c r="BJ1567">
        <v>1</v>
      </c>
      <c r="BK1567">
        <v>1</v>
      </c>
      <c r="BL1567">
        <v>0</v>
      </c>
      <c r="BO1567">
        <v>0</v>
      </c>
      <c r="BP1567">
        <v>0</v>
      </c>
      <c r="BW1567" t="str">
        <f>"14:51:19.717"</f>
        <v>14:51:19.717</v>
      </c>
      <c r="CJ1567">
        <v>3</v>
      </c>
      <c r="CK1567">
        <v>2</v>
      </c>
      <c r="CL1567">
        <v>0</v>
      </c>
      <c r="CM1567">
        <v>2</v>
      </c>
      <c r="CN1567">
        <v>0</v>
      </c>
      <c r="CO1567">
        <v>6</v>
      </c>
      <c r="CP1567" t="s">
        <v>119</v>
      </c>
      <c r="CQ1567">
        <v>232</v>
      </c>
      <c r="CR1567">
        <v>1</v>
      </c>
      <c r="CW1567">
        <v>15620105</v>
      </c>
      <c r="CY1567">
        <v>1</v>
      </c>
      <c r="CZ1567">
        <v>0</v>
      </c>
      <c r="DA1567">
        <v>1</v>
      </c>
      <c r="DB1567">
        <v>0</v>
      </c>
      <c r="DC1567">
        <v>0</v>
      </c>
      <c r="DD1567">
        <v>1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>"12/16/2021 14:51:19.961"</f>
        <v>12/16/2021 14:51:19.961</v>
      </c>
      <c r="C1568" t="str">
        <f t="shared" si="76"/>
        <v>FFDFD3C0</v>
      </c>
      <c r="D1568" t="s">
        <v>124</v>
      </c>
      <c r="E1568">
        <v>10</v>
      </c>
      <c r="F1568">
        <v>1010</v>
      </c>
      <c r="G1568" t="s">
        <v>130</v>
      </c>
      <c r="J1568" t="s">
        <v>125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>"14:51:19.711"</f>
        <v>14:51:19.711</v>
      </c>
      <c r="T1568" t="str">
        <f>"14:51:19.211"</f>
        <v>14:51:19.211</v>
      </c>
      <c r="U1568" t="str">
        <f t="shared" si="78"/>
        <v>A0F928</v>
      </c>
      <c r="V1568">
        <v>0</v>
      </c>
      <c r="W1568">
        <v>0</v>
      </c>
      <c r="X1568">
        <v>2</v>
      </c>
      <c r="Z1568">
        <v>0</v>
      </c>
      <c r="AA1568">
        <v>9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2</v>
      </c>
      <c r="AH1568">
        <v>1</v>
      </c>
      <c r="AI1568" t="s">
        <v>854</v>
      </c>
      <c r="AJ1568">
        <v>35.812038999999999</v>
      </c>
      <c r="AK1568" t="s">
        <v>855</v>
      </c>
      <c r="AL1568">
        <v>-84.035174999999995</v>
      </c>
      <c r="AM1568">
        <v>25</v>
      </c>
      <c r="AN1568">
        <v>1525</v>
      </c>
      <c r="AO1568" t="s">
        <v>118</v>
      </c>
      <c r="AP1568">
        <v>104</v>
      </c>
      <c r="AQ1568">
        <v>101</v>
      </c>
      <c r="AR1568">
        <v>576</v>
      </c>
      <c r="AZ1568">
        <v>300</v>
      </c>
      <c r="BA1568">
        <v>1</v>
      </c>
      <c r="BB1568" t="str">
        <f t="shared" si="77"/>
        <v xml:space="preserve">N162AM  </v>
      </c>
      <c r="BC1568">
        <v>1</v>
      </c>
      <c r="BE1568">
        <v>0</v>
      </c>
      <c r="BF1568">
        <v>0</v>
      </c>
      <c r="BG1568">
        <v>0</v>
      </c>
      <c r="BH1568">
        <v>1775</v>
      </c>
      <c r="BI1568">
        <v>1</v>
      </c>
      <c r="BJ1568">
        <v>1</v>
      </c>
      <c r="BK1568">
        <v>1</v>
      </c>
      <c r="BL1568">
        <v>0</v>
      </c>
      <c r="BO1568">
        <v>0</v>
      </c>
      <c r="BP1568">
        <v>0</v>
      </c>
      <c r="BW1568" t="str">
        <f>"14:51:19.717"</f>
        <v>14:51:19.717</v>
      </c>
      <c r="CJ1568">
        <v>3</v>
      </c>
      <c r="CK1568">
        <v>2</v>
      </c>
      <c r="CL1568">
        <v>0</v>
      </c>
      <c r="CM1568">
        <v>2</v>
      </c>
      <c r="CN1568">
        <v>0</v>
      </c>
      <c r="CO1568">
        <v>6</v>
      </c>
      <c r="CP1568" t="s">
        <v>119</v>
      </c>
      <c r="CQ1568">
        <v>232</v>
      </c>
      <c r="CR1568">
        <v>1</v>
      </c>
      <c r="CW1568">
        <v>15620105</v>
      </c>
      <c r="CY1568">
        <v>1</v>
      </c>
      <c r="CZ1568">
        <v>0</v>
      </c>
      <c r="DA1568">
        <v>1</v>
      </c>
      <c r="DB1568">
        <v>0</v>
      </c>
      <c r="DC1568">
        <v>0</v>
      </c>
      <c r="DD1568">
        <v>1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>"12/16/2021 14:51:19.961"</f>
        <v>12/16/2021 14:51:19.961</v>
      </c>
      <c r="C1569" t="str">
        <f t="shared" si="76"/>
        <v>FFDFD3C0</v>
      </c>
      <c r="D1569" t="s">
        <v>133</v>
      </c>
      <c r="E1569">
        <v>44</v>
      </c>
      <c r="H1569">
        <v>131</v>
      </c>
      <c r="I1569" t="s">
        <v>134</v>
      </c>
      <c r="J1569" t="s">
        <v>135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>"14:51:19.711"</f>
        <v>14:51:19.711</v>
      </c>
      <c r="T1569" t="str">
        <f>"14:51:19.211"</f>
        <v>14:51:19.211</v>
      </c>
      <c r="U1569" t="str">
        <f t="shared" si="78"/>
        <v>A0F928</v>
      </c>
      <c r="V1569">
        <v>0</v>
      </c>
      <c r="W1569">
        <v>0</v>
      </c>
      <c r="X1569">
        <v>2</v>
      </c>
      <c r="Z1569">
        <v>0</v>
      </c>
      <c r="AA1569">
        <v>9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2</v>
      </c>
      <c r="AH1569">
        <v>1</v>
      </c>
      <c r="AI1569" t="s">
        <v>854</v>
      </c>
      <c r="AJ1569">
        <v>35.812038999999999</v>
      </c>
      <c r="AK1569" t="s">
        <v>855</v>
      </c>
      <c r="AL1569">
        <v>-84.035174999999995</v>
      </c>
      <c r="AM1569">
        <v>25</v>
      </c>
      <c r="AN1569">
        <v>1525</v>
      </c>
      <c r="AO1569" t="s">
        <v>118</v>
      </c>
      <c r="AP1569">
        <v>104</v>
      </c>
      <c r="AQ1569">
        <v>101</v>
      </c>
      <c r="AR1569">
        <v>576</v>
      </c>
      <c r="AZ1569">
        <v>300</v>
      </c>
      <c r="BA1569">
        <v>1</v>
      </c>
      <c r="BB1569" t="str">
        <f t="shared" si="77"/>
        <v xml:space="preserve">N162AM  </v>
      </c>
      <c r="BC1569">
        <v>1</v>
      </c>
      <c r="BE1569">
        <v>0</v>
      </c>
      <c r="BF1569">
        <v>0</v>
      </c>
      <c r="BG1569">
        <v>0</v>
      </c>
      <c r="BH1569">
        <v>1775</v>
      </c>
      <c r="BI1569">
        <v>1</v>
      </c>
      <c r="BJ1569">
        <v>1</v>
      </c>
      <c r="BK1569">
        <v>1</v>
      </c>
      <c r="BL1569">
        <v>0</v>
      </c>
      <c r="BO1569">
        <v>0</v>
      </c>
      <c r="BP1569">
        <v>0</v>
      </c>
      <c r="BW1569" t="str">
        <f>"14:51:19.717"</f>
        <v>14:51:19.717</v>
      </c>
      <c r="CJ1569">
        <v>3</v>
      </c>
      <c r="CK1569">
        <v>2</v>
      </c>
      <c r="CL1569">
        <v>0</v>
      </c>
      <c r="CM1569">
        <v>2</v>
      </c>
      <c r="CN1569">
        <v>0</v>
      </c>
      <c r="CO1569">
        <v>6</v>
      </c>
      <c r="CP1569" t="s">
        <v>119</v>
      </c>
      <c r="CQ1569">
        <v>232</v>
      </c>
      <c r="CR1569">
        <v>1</v>
      </c>
      <c r="CW1569">
        <v>15620105</v>
      </c>
      <c r="CY1569">
        <v>1</v>
      </c>
      <c r="CZ1569">
        <v>0</v>
      </c>
      <c r="DA1569">
        <v>1</v>
      </c>
      <c r="DB1569">
        <v>0</v>
      </c>
      <c r="DC1569">
        <v>0</v>
      </c>
      <c r="DD1569">
        <v>1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>"12/16/2021 14:51:20.976"</f>
        <v>12/16/2021 14:51:20.976</v>
      </c>
      <c r="C1570" t="str">
        <f t="shared" si="76"/>
        <v>FFDFD3C0</v>
      </c>
      <c r="D1570" t="s">
        <v>124</v>
      </c>
      <c r="E1570">
        <v>5</v>
      </c>
      <c r="F1570">
        <v>1005</v>
      </c>
      <c r="G1570" t="s">
        <v>114</v>
      </c>
      <c r="J1570" t="s">
        <v>125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>"14:51:20.766"</f>
        <v>14:51:20.766</v>
      </c>
      <c r="T1570" t="str">
        <f>"14:51:20.266"</f>
        <v>14:51:20.266</v>
      </c>
      <c r="U1570" t="str">
        <f t="shared" si="78"/>
        <v>A0F928</v>
      </c>
      <c r="V1570">
        <v>0</v>
      </c>
      <c r="W1570">
        <v>0</v>
      </c>
      <c r="X1570">
        <v>2</v>
      </c>
      <c r="Z1570">
        <v>0</v>
      </c>
      <c r="AA1570">
        <v>9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2</v>
      </c>
      <c r="AH1570">
        <v>1</v>
      </c>
      <c r="AI1570" t="s">
        <v>856</v>
      </c>
      <c r="AJ1570">
        <v>35.812553999999999</v>
      </c>
      <c r="AK1570" t="s">
        <v>857</v>
      </c>
      <c r="AL1570">
        <v>-84.034531000000001</v>
      </c>
      <c r="AM1570">
        <v>25</v>
      </c>
      <c r="AN1570">
        <v>1525</v>
      </c>
      <c r="AO1570" t="s">
        <v>118</v>
      </c>
      <c r="AP1570">
        <v>105</v>
      </c>
      <c r="AQ1570">
        <v>101</v>
      </c>
      <c r="AR1570">
        <v>576</v>
      </c>
      <c r="AZ1570">
        <v>300</v>
      </c>
      <c r="BA1570">
        <v>1</v>
      </c>
      <c r="BB1570" t="str">
        <f t="shared" si="77"/>
        <v xml:space="preserve">N162AM  </v>
      </c>
      <c r="BC1570">
        <v>1</v>
      </c>
      <c r="BE1570">
        <v>0</v>
      </c>
      <c r="BF1570">
        <v>0</v>
      </c>
      <c r="BG1570">
        <v>0</v>
      </c>
      <c r="BH1570">
        <v>1800</v>
      </c>
      <c r="BI1570">
        <v>1</v>
      </c>
      <c r="BJ1570">
        <v>1</v>
      </c>
      <c r="BK1570">
        <v>1</v>
      </c>
      <c r="BL1570">
        <v>0</v>
      </c>
      <c r="BO1570">
        <v>0</v>
      </c>
      <c r="BP1570">
        <v>0</v>
      </c>
      <c r="BW1570" t="str">
        <f>"14:51:20.771"</f>
        <v>14:51:20.771</v>
      </c>
      <c r="CJ1570">
        <v>3</v>
      </c>
      <c r="CK1570">
        <v>2</v>
      </c>
      <c r="CL1570">
        <v>0</v>
      </c>
      <c r="CM1570">
        <v>2</v>
      </c>
      <c r="CN1570">
        <v>0</v>
      </c>
      <c r="CO1570">
        <v>7</v>
      </c>
      <c r="CP1570" t="s">
        <v>119</v>
      </c>
      <c r="CQ1570">
        <v>232</v>
      </c>
      <c r="CR1570">
        <v>2</v>
      </c>
      <c r="CW1570">
        <v>6826455</v>
      </c>
      <c r="CY1570">
        <v>1</v>
      </c>
      <c r="CZ1570">
        <v>0</v>
      </c>
      <c r="DA1570">
        <v>0</v>
      </c>
      <c r="DB1570">
        <v>0</v>
      </c>
      <c r="DC1570">
        <v>0</v>
      </c>
      <c r="DD1570">
        <v>1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>"12/16/2021 14:51:20.976"</f>
        <v>12/16/2021 14:51:20.976</v>
      </c>
      <c r="C1571" t="str">
        <f t="shared" si="76"/>
        <v>FFDFD3C0</v>
      </c>
      <c r="D1571" t="s">
        <v>113</v>
      </c>
      <c r="E1571">
        <v>8</v>
      </c>
      <c r="H1571">
        <v>176</v>
      </c>
      <c r="I1571" t="s">
        <v>114</v>
      </c>
      <c r="J1571" t="s">
        <v>115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>"14:51:20.766"</f>
        <v>14:51:20.766</v>
      </c>
      <c r="T1571" t="str">
        <f>"14:51:20.266"</f>
        <v>14:51:20.266</v>
      </c>
      <c r="U1571" t="str">
        <f t="shared" si="78"/>
        <v>A0F928</v>
      </c>
      <c r="V1571">
        <v>0</v>
      </c>
      <c r="W1571">
        <v>0</v>
      </c>
      <c r="X1571">
        <v>2</v>
      </c>
      <c r="Z1571">
        <v>0</v>
      </c>
      <c r="AA1571">
        <v>9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2</v>
      </c>
      <c r="AH1571">
        <v>1</v>
      </c>
      <c r="AI1571" t="s">
        <v>856</v>
      </c>
      <c r="AJ1571">
        <v>35.812553999999999</v>
      </c>
      <c r="AK1571" t="s">
        <v>857</v>
      </c>
      <c r="AL1571">
        <v>-84.034531000000001</v>
      </c>
      <c r="AM1571">
        <v>25</v>
      </c>
      <c r="AN1571">
        <v>1525</v>
      </c>
      <c r="AO1571" t="s">
        <v>118</v>
      </c>
      <c r="AP1571">
        <v>105</v>
      </c>
      <c r="AQ1571">
        <v>101</v>
      </c>
      <c r="AR1571">
        <v>576</v>
      </c>
      <c r="AZ1571">
        <v>300</v>
      </c>
      <c r="BA1571">
        <v>1</v>
      </c>
      <c r="BB1571" t="str">
        <f t="shared" si="77"/>
        <v xml:space="preserve">N162AM  </v>
      </c>
      <c r="BC1571">
        <v>1</v>
      </c>
      <c r="BE1571">
        <v>0</v>
      </c>
      <c r="BF1571">
        <v>0</v>
      </c>
      <c r="BG1571">
        <v>0</v>
      </c>
      <c r="BH1571">
        <v>1800</v>
      </c>
      <c r="BI1571">
        <v>1</v>
      </c>
      <c r="BJ1571">
        <v>1</v>
      </c>
      <c r="BK1571">
        <v>1</v>
      </c>
      <c r="BL1571">
        <v>0</v>
      </c>
      <c r="BO1571">
        <v>0</v>
      </c>
      <c r="BP1571">
        <v>0</v>
      </c>
      <c r="BW1571" t="str">
        <f>"14:51:20.771"</f>
        <v>14:51:20.771</v>
      </c>
      <c r="CJ1571">
        <v>3</v>
      </c>
      <c r="CK1571">
        <v>2</v>
      </c>
      <c r="CL1571">
        <v>0</v>
      </c>
      <c r="CM1571">
        <v>2</v>
      </c>
      <c r="CN1571">
        <v>0</v>
      </c>
      <c r="CO1571">
        <v>7</v>
      </c>
      <c r="CP1571" t="s">
        <v>119</v>
      </c>
      <c r="CQ1571">
        <v>232</v>
      </c>
      <c r="CR1571">
        <v>2</v>
      </c>
      <c r="CW1571">
        <v>6826455</v>
      </c>
      <c r="CY1571">
        <v>1</v>
      </c>
      <c r="CZ1571">
        <v>0</v>
      </c>
      <c r="DA1571">
        <v>1</v>
      </c>
      <c r="DB1571">
        <v>0</v>
      </c>
      <c r="DC1571">
        <v>0</v>
      </c>
      <c r="DD1571">
        <v>1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>"12/16/2021 14:51:20.976"</f>
        <v>12/16/2021 14:51:20.976</v>
      </c>
      <c r="C1572" t="str">
        <f t="shared" si="76"/>
        <v>FFDFD3C0</v>
      </c>
      <c r="D1572" t="s">
        <v>124</v>
      </c>
      <c r="E1572">
        <v>10</v>
      </c>
      <c r="F1572">
        <v>1010</v>
      </c>
      <c r="G1572" t="s">
        <v>130</v>
      </c>
      <c r="J1572" t="s">
        <v>125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"14:51:20.766"</f>
        <v>14:51:20.766</v>
      </c>
      <c r="T1572" t="str">
        <f>"14:51:20.266"</f>
        <v>14:51:20.266</v>
      </c>
      <c r="U1572" t="str">
        <f t="shared" si="78"/>
        <v>A0F928</v>
      </c>
      <c r="V1572">
        <v>0</v>
      </c>
      <c r="W1572">
        <v>0</v>
      </c>
      <c r="X1572">
        <v>2</v>
      </c>
      <c r="Z1572">
        <v>0</v>
      </c>
      <c r="AA1572">
        <v>9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2</v>
      </c>
      <c r="AH1572">
        <v>1</v>
      </c>
      <c r="AI1572" t="s">
        <v>856</v>
      </c>
      <c r="AJ1572">
        <v>35.812553999999999</v>
      </c>
      <c r="AK1572" t="s">
        <v>857</v>
      </c>
      <c r="AL1572">
        <v>-84.034531000000001</v>
      </c>
      <c r="AM1572">
        <v>25</v>
      </c>
      <c r="AN1572">
        <v>1525</v>
      </c>
      <c r="AO1572" t="s">
        <v>118</v>
      </c>
      <c r="AP1572">
        <v>105</v>
      </c>
      <c r="AQ1572">
        <v>101</v>
      </c>
      <c r="AR1572">
        <v>576</v>
      </c>
      <c r="AZ1572">
        <v>300</v>
      </c>
      <c r="BA1572">
        <v>1</v>
      </c>
      <c r="BB1572" t="str">
        <f t="shared" si="77"/>
        <v xml:space="preserve">N162AM  </v>
      </c>
      <c r="BC1572">
        <v>1</v>
      </c>
      <c r="BE1572">
        <v>0</v>
      </c>
      <c r="BF1572">
        <v>0</v>
      </c>
      <c r="BG1572">
        <v>0</v>
      </c>
      <c r="BH1572">
        <v>1800</v>
      </c>
      <c r="BI1572">
        <v>1</v>
      </c>
      <c r="BJ1572">
        <v>1</v>
      </c>
      <c r="BK1572">
        <v>1</v>
      </c>
      <c r="BL1572">
        <v>0</v>
      </c>
      <c r="BO1572">
        <v>0</v>
      </c>
      <c r="BP1572">
        <v>0</v>
      </c>
      <c r="BW1572" t="str">
        <f>"14:51:20.771"</f>
        <v>14:51:20.771</v>
      </c>
      <c r="CJ1572">
        <v>3</v>
      </c>
      <c r="CK1572">
        <v>2</v>
      </c>
      <c r="CL1572">
        <v>0</v>
      </c>
      <c r="CM1572">
        <v>2</v>
      </c>
      <c r="CN1572">
        <v>0</v>
      </c>
      <c r="CO1572">
        <v>7</v>
      </c>
      <c r="CP1572" t="s">
        <v>119</v>
      </c>
      <c r="CQ1572">
        <v>232</v>
      </c>
      <c r="CR1572">
        <v>2</v>
      </c>
      <c r="CW1572">
        <v>6826455</v>
      </c>
      <c r="CY1572">
        <v>1</v>
      </c>
      <c r="CZ1572">
        <v>0</v>
      </c>
      <c r="DA1572">
        <v>1</v>
      </c>
      <c r="DB1572">
        <v>0</v>
      </c>
      <c r="DC1572">
        <v>0</v>
      </c>
      <c r="DD1572">
        <v>1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>"12/16/2021 14:51:21.039"</f>
        <v>12/16/2021 14:51:21.039</v>
      </c>
      <c r="C1573" t="str">
        <f t="shared" si="76"/>
        <v>FFDFD3C0</v>
      </c>
      <c r="D1573" t="s">
        <v>133</v>
      </c>
      <c r="E1573">
        <v>44</v>
      </c>
      <c r="H1573">
        <v>131</v>
      </c>
      <c r="I1573" t="s">
        <v>134</v>
      </c>
      <c r="J1573" t="s">
        <v>135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>"14:51:20.766"</f>
        <v>14:51:20.766</v>
      </c>
      <c r="T1573" t="str">
        <f>"14:51:20.266"</f>
        <v>14:51:20.266</v>
      </c>
      <c r="U1573" t="str">
        <f t="shared" si="78"/>
        <v>A0F928</v>
      </c>
      <c r="V1573">
        <v>0</v>
      </c>
      <c r="W1573">
        <v>0</v>
      </c>
      <c r="X1573">
        <v>2</v>
      </c>
      <c r="Z1573">
        <v>0</v>
      </c>
      <c r="AA1573">
        <v>9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2</v>
      </c>
      <c r="AH1573">
        <v>1</v>
      </c>
      <c r="AI1573" t="s">
        <v>856</v>
      </c>
      <c r="AJ1573">
        <v>35.812553999999999</v>
      </c>
      <c r="AK1573" t="s">
        <v>857</v>
      </c>
      <c r="AL1573">
        <v>-84.034531000000001</v>
      </c>
      <c r="AM1573">
        <v>25</v>
      </c>
      <c r="AN1573">
        <v>1525</v>
      </c>
      <c r="AO1573" t="s">
        <v>118</v>
      </c>
      <c r="AP1573">
        <v>105</v>
      </c>
      <c r="AQ1573">
        <v>101</v>
      </c>
      <c r="AR1573">
        <v>576</v>
      </c>
      <c r="AZ1573">
        <v>300</v>
      </c>
      <c r="BA1573">
        <v>1</v>
      </c>
      <c r="BB1573" t="str">
        <f t="shared" si="77"/>
        <v xml:space="preserve">N162AM  </v>
      </c>
      <c r="BC1573">
        <v>1</v>
      </c>
      <c r="BE1573">
        <v>0</v>
      </c>
      <c r="BF1573">
        <v>0</v>
      </c>
      <c r="BG1573">
        <v>0</v>
      </c>
      <c r="BH1573">
        <v>1800</v>
      </c>
      <c r="BI1573">
        <v>1</v>
      </c>
      <c r="BJ1573">
        <v>1</v>
      </c>
      <c r="BK1573">
        <v>1</v>
      </c>
      <c r="BL1573">
        <v>0</v>
      </c>
      <c r="BO1573">
        <v>0</v>
      </c>
      <c r="BP1573">
        <v>0</v>
      </c>
      <c r="BW1573" t="str">
        <f>"14:51:20.771"</f>
        <v>14:51:20.771</v>
      </c>
      <c r="CJ1573">
        <v>3</v>
      </c>
      <c r="CK1573">
        <v>2</v>
      </c>
      <c r="CL1573">
        <v>0</v>
      </c>
      <c r="CM1573">
        <v>2</v>
      </c>
      <c r="CN1573">
        <v>0</v>
      </c>
      <c r="CO1573">
        <v>7</v>
      </c>
      <c r="CP1573" t="s">
        <v>119</v>
      </c>
      <c r="CQ1573">
        <v>232</v>
      </c>
      <c r="CR1573">
        <v>2</v>
      </c>
      <c r="CW1573">
        <v>6826455</v>
      </c>
      <c r="CY1573">
        <v>1</v>
      </c>
      <c r="CZ1573">
        <v>0</v>
      </c>
      <c r="DA1573">
        <v>1</v>
      </c>
      <c r="DB1573">
        <v>0</v>
      </c>
      <c r="DC1573">
        <v>0</v>
      </c>
      <c r="DD1573">
        <v>1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>"12/16/2021 14:51:21.976"</f>
        <v>12/16/2021 14:51:21.976</v>
      </c>
      <c r="C1574" t="str">
        <f t="shared" si="76"/>
        <v>FFDFD3C0</v>
      </c>
      <c r="D1574" t="s">
        <v>124</v>
      </c>
      <c r="E1574">
        <v>10</v>
      </c>
      <c r="F1574">
        <v>1010</v>
      </c>
      <c r="G1574" t="s">
        <v>130</v>
      </c>
      <c r="J1574" t="s">
        <v>125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"14:51:21.758"</f>
        <v>14:51:21.758</v>
      </c>
      <c r="T1574" t="str">
        <f>"14:51:21.358"</f>
        <v>14:51:21.358</v>
      </c>
      <c r="U1574" t="str">
        <f t="shared" si="78"/>
        <v>A0F928</v>
      </c>
      <c r="V1574">
        <v>0</v>
      </c>
      <c r="W1574">
        <v>0</v>
      </c>
      <c r="X1574">
        <v>2</v>
      </c>
      <c r="Z1574">
        <v>0</v>
      </c>
      <c r="AA1574">
        <v>9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2</v>
      </c>
      <c r="AH1574">
        <v>1</v>
      </c>
      <c r="AI1574" t="s">
        <v>858</v>
      </c>
      <c r="AJ1574">
        <v>35.813004999999997</v>
      </c>
      <c r="AK1574" t="s">
        <v>766</v>
      </c>
      <c r="AL1574">
        <v>-84.033908999999994</v>
      </c>
      <c r="AM1574">
        <v>25</v>
      </c>
      <c r="AN1574">
        <v>1550</v>
      </c>
      <c r="AO1574" t="s">
        <v>118</v>
      </c>
      <c r="AP1574">
        <v>105</v>
      </c>
      <c r="AQ1574">
        <v>100</v>
      </c>
      <c r="AR1574">
        <v>576</v>
      </c>
      <c r="AZ1574">
        <v>300</v>
      </c>
      <c r="BA1574">
        <v>1</v>
      </c>
      <c r="BB1574" t="str">
        <f t="shared" si="77"/>
        <v xml:space="preserve">N162AM  </v>
      </c>
      <c r="BC1574">
        <v>1</v>
      </c>
      <c r="BE1574">
        <v>0</v>
      </c>
      <c r="BF1574">
        <v>0</v>
      </c>
      <c r="BG1574">
        <v>0</v>
      </c>
      <c r="BH1574">
        <v>1800</v>
      </c>
      <c r="BI1574">
        <v>1</v>
      </c>
      <c r="BJ1574">
        <v>1</v>
      </c>
      <c r="BK1574">
        <v>1</v>
      </c>
      <c r="BL1574">
        <v>0</v>
      </c>
      <c r="BO1574">
        <v>0</v>
      </c>
      <c r="BP1574">
        <v>0</v>
      </c>
      <c r="BW1574" t="str">
        <f>"14:51:21.762"</f>
        <v>14:51:21.762</v>
      </c>
      <c r="CJ1574">
        <v>3</v>
      </c>
      <c r="CK1574">
        <v>2</v>
      </c>
      <c r="CL1574">
        <v>0</v>
      </c>
      <c r="CM1574">
        <v>2</v>
      </c>
      <c r="CN1574">
        <v>0</v>
      </c>
      <c r="CO1574">
        <v>6</v>
      </c>
      <c r="CP1574" t="s">
        <v>119</v>
      </c>
      <c r="CQ1574">
        <v>232</v>
      </c>
      <c r="CR1574">
        <v>1</v>
      </c>
      <c r="CW1574">
        <v>15623121</v>
      </c>
      <c r="CY1574">
        <v>1</v>
      </c>
      <c r="CZ1574">
        <v>0</v>
      </c>
      <c r="DA1574">
        <v>0</v>
      </c>
      <c r="DB1574">
        <v>0</v>
      </c>
      <c r="DC1574">
        <v>0</v>
      </c>
      <c r="DD1574">
        <v>1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>"12/16/2021 14:51:22.039"</f>
        <v>12/16/2021 14:51:22.039</v>
      </c>
      <c r="C1575" t="str">
        <f t="shared" si="76"/>
        <v>FFDFD3C0</v>
      </c>
      <c r="D1575" t="s">
        <v>133</v>
      </c>
      <c r="E1575">
        <v>44</v>
      </c>
      <c r="H1575">
        <v>131</v>
      </c>
      <c r="I1575" t="s">
        <v>134</v>
      </c>
      <c r="J1575" t="s">
        <v>135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>"14:51:21.758"</f>
        <v>14:51:21.758</v>
      </c>
      <c r="T1575" t="str">
        <f>"14:51:21.358"</f>
        <v>14:51:21.358</v>
      </c>
      <c r="U1575" t="str">
        <f t="shared" si="78"/>
        <v>A0F928</v>
      </c>
      <c r="V1575">
        <v>0</v>
      </c>
      <c r="W1575">
        <v>0</v>
      </c>
      <c r="X1575">
        <v>2</v>
      </c>
      <c r="Z1575">
        <v>0</v>
      </c>
      <c r="AA1575">
        <v>9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2</v>
      </c>
      <c r="AH1575">
        <v>1</v>
      </c>
      <c r="AI1575" t="s">
        <v>858</v>
      </c>
      <c r="AJ1575">
        <v>35.813004999999997</v>
      </c>
      <c r="AK1575" t="s">
        <v>766</v>
      </c>
      <c r="AL1575">
        <v>-84.033908999999994</v>
      </c>
      <c r="AM1575">
        <v>25</v>
      </c>
      <c r="AN1575">
        <v>1550</v>
      </c>
      <c r="AO1575" t="s">
        <v>118</v>
      </c>
      <c r="AP1575">
        <v>105</v>
      </c>
      <c r="AQ1575">
        <v>100</v>
      </c>
      <c r="AR1575">
        <v>576</v>
      </c>
      <c r="AZ1575">
        <v>300</v>
      </c>
      <c r="BA1575">
        <v>1</v>
      </c>
      <c r="BB1575" t="str">
        <f t="shared" si="77"/>
        <v xml:space="preserve">N162AM  </v>
      </c>
      <c r="BC1575">
        <v>1</v>
      </c>
      <c r="BE1575">
        <v>0</v>
      </c>
      <c r="BF1575">
        <v>0</v>
      </c>
      <c r="BG1575">
        <v>0</v>
      </c>
      <c r="BH1575">
        <v>1800</v>
      </c>
      <c r="BI1575">
        <v>1</v>
      </c>
      <c r="BJ1575">
        <v>1</v>
      </c>
      <c r="BK1575">
        <v>1</v>
      </c>
      <c r="BL1575">
        <v>0</v>
      </c>
      <c r="BO1575">
        <v>0</v>
      </c>
      <c r="BP1575">
        <v>0</v>
      </c>
      <c r="BW1575" t="str">
        <f>"14:51:21.762"</f>
        <v>14:51:21.762</v>
      </c>
      <c r="CJ1575">
        <v>3</v>
      </c>
      <c r="CK1575">
        <v>2</v>
      </c>
      <c r="CL1575">
        <v>0</v>
      </c>
      <c r="CM1575">
        <v>2</v>
      </c>
      <c r="CN1575">
        <v>0</v>
      </c>
      <c r="CO1575">
        <v>6</v>
      </c>
      <c r="CP1575" t="s">
        <v>119</v>
      </c>
      <c r="CQ1575">
        <v>232</v>
      </c>
      <c r="CR1575">
        <v>1</v>
      </c>
      <c r="CW1575">
        <v>15623121</v>
      </c>
      <c r="CY1575">
        <v>1</v>
      </c>
      <c r="CZ1575">
        <v>0</v>
      </c>
      <c r="DA1575">
        <v>1</v>
      </c>
      <c r="DB1575">
        <v>0</v>
      </c>
      <c r="DC1575">
        <v>0</v>
      </c>
      <c r="DD1575">
        <v>1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>"12/16/2021 14:51:22.039"</f>
        <v>12/16/2021 14:51:22.039</v>
      </c>
      <c r="C1576" t="str">
        <f t="shared" si="76"/>
        <v>FFDFD3C0</v>
      </c>
      <c r="D1576" t="s">
        <v>124</v>
      </c>
      <c r="E1576">
        <v>5</v>
      </c>
      <c r="F1576">
        <v>1005</v>
      </c>
      <c r="G1576" t="s">
        <v>114</v>
      </c>
      <c r="J1576" t="s">
        <v>125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>"14:51:21.758"</f>
        <v>14:51:21.758</v>
      </c>
      <c r="T1576" t="str">
        <f>"14:51:21.358"</f>
        <v>14:51:21.358</v>
      </c>
      <c r="U1576" t="str">
        <f t="shared" si="78"/>
        <v>A0F928</v>
      </c>
      <c r="V1576">
        <v>0</v>
      </c>
      <c r="W1576">
        <v>0</v>
      </c>
      <c r="X1576">
        <v>2</v>
      </c>
      <c r="Z1576">
        <v>0</v>
      </c>
      <c r="AA1576">
        <v>9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2</v>
      </c>
      <c r="AH1576">
        <v>1</v>
      </c>
      <c r="AI1576" t="s">
        <v>858</v>
      </c>
      <c r="AJ1576">
        <v>35.813004999999997</v>
      </c>
      <c r="AK1576" t="s">
        <v>766</v>
      </c>
      <c r="AL1576">
        <v>-84.033908999999994</v>
      </c>
      <c r="AM1576">
        <v>25</v>
      </c>
      <c r="AN1576">
        <v>1550</v>
      </c>
      <c r="AO1576" t="s">
        <v>118</v>
      </c>
      <c r="AP1576">
        <v>105</v>
      </c>
      <c r="AQ1576">
        <v>100</v>
      </c>
      <c r="AR1576">
        <v>576</v>
      </c>
      <c r="AZ1576">
        <v>300</v>
      </c>
      <c r="BA1576">
        <v>1</v>
      </c>
      <c r="BB1576" t="str">
        <f t="shared" si="77"/>
        <v xml:space="preserve">N162AM  </v>
      </c>
      <c r="BC1576">
        <v>1</v>
      </c>
      <c r="BE1576">
        <v>0</v>
      </c>
      <c r="BF1576">
        <v>0</v>
      </c>
      <c r="BG1576">
        <v>0</v>
      </c>
      <c r="BH1576">
        <v>1800</v>
      </c>
      <c r="BI1576">
        <v>1</v>
      </c>
      <c r="BJ1576">
        <v>1</v>
      </c>
      <c r="BK1576">
        <v>1</v>
      </c>
      <c r="BL1576">
        <v>0</v>
      </c>
      <c r="BO1576">
        <v>0</v>
      </c>
      <c r="BP1576">
        <v>0</v>
      </c>
      <c r="BW1576" t="str">
        <f>"14:51:21.762"</f>
        <v>14:51:21.762</v>
      </c>
      <c r="CJ1576">
        <v>3</v>
      </c>
      <c r="CK1576">
        <v>2</v>
      </c>
      <c r="CL1576">
        <v>0</v>
      </c>
      <c r="CM1576">
        <v>2</v>
      </c>
      <c r="CN1576">
        <v>0</v>
      </c>
      <c r="CO1576">
        <v>6</v>
      </c>
      <c r="CP1576" t="s">
        <v>119</v>
      </c>
      <c r="CQ1576">
        <v>232</v>
      </c>
      <c r="CR1576">
        <v>1</v>
      </c>
      <c r="CW1576">
        <v>15623121</v>
      </c>
      <c r="CY1576">
        <v>1</v>
      </c>
      <c r="CZ1576">
        <v>0</v>
      </c>
      <c r="DA1576">
        <v>1</v>
      </c>
      <c r="DB1576">
        <v>0</v>
      </c>
      <c r="DC1576">
        <v>0</v>
      </c>
      <c r="DD1576">
        <v>1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>"12/16/2021 14:51:22.039"</f>
        <v>12/16/2021 14:51:22.039</v>
      </c>
      <c r="C1577" t="str">
        <f t="shared" si="76"/>
        <v>FFDFD3C0</v>
      </c>
      <c r="D1577" t="s">
        <v>113</v>
      </c>
      <c r="E1577">
        <v>8</v>
      </c>
      <c r="H1577">
        <v>176</v>
      </c>
      <c r="I1577" t="s">
        <v>114</v>
      </c>
      <c r="J1577" t="s">
        <v>115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>"14:51:21.758"</f>
        <v>14:51:21.758</v>
      </c>
      <c r="T1577" t="str">
        <f>"14:51:21.358"</f>
        <v>14:51:21.358</v>
      </c>
      <c r="U1577" t="str">
        <f t="shared" si="78"/>
        <v>A0F928</v>
      </c>
      <c r="V1577">
        <v>0</v>
      </c>
      <c r="W1577">
        <v>0</v>
      </c>
      <c r="X1577">
        <v>2</v>
      </c>
      <c r="Z1577">
        <v>0</v>
      </c>
      <c r="AA1577">
        <v>9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2</v>
      </c>
      <c r="AH1577">
        <v>1</v>
      </c>
      <c r="AI1577" t="s">
        <v>858</v>
      </c>
      <c r="AJ1577">
        <v>35.813004999999997</v>
      </c>
      <c r="AK1577" t="s">
        <v>766</v>
      </c>
      <c r="AL1577">
        <v>-84.033908999999994</v>
      </c>
      <c r="AM1577">
        <v>25</v>
      </c>
      <c r="AN1577">
        <v>1550</v>
      </c>
      <c r="AO1577" t="s">
        <v>118</v>
      </c>
      <c r="AP1577">
        <v>105</v>
      </c>
      <c r="AQ1577">
        <v>100</v>
      </c>
      <c r="AR1577">
        <v>576</v>
      </c>
      <c r="AZ1577">
        <v>300</v>
      </c>
      <c r="BA1577">
        <v>1</v>
      </c>
      <c r="BB1577" t="str">
        <f t="shared" si="77"/>
        <v xml:space="preserve">N162AM  </v>
      </c>
      <c r="BC1577">
        <v>1</v>
      </c>
      <c r="BE1577">
        <v>0</v>
      </c>
      <c r="BF1577">
        <v>0</v>
      </c>
      <c r="BG1577">
        <v>0</v>
      </c>
      <c r="BH1577">
        <v>1800</v>
      </c>
      <c r="BI1577">
        <v>1</v>
      </c>
      <c r="BJ1577">
        <v>1</v>
      </c>
      <c r="BK1577">
        <v>1</v>
      </c>
      <c r="BL1577">
        <v>0</v>
      </c>
      <c r="BO1577">
        <v>0</v>
      </c>
      <c r="BP1577">
        <v>0</v>
      </c>
      <c r="BW1577" t="str">
        <f>"14:51:21.762"</f>
        <v>14:51:21.762</v>
      </c>
      <c r="CJ1577">
        <v>3</v>
      </c>
      <c r="CK1577">
        <v>2</v>
      </c>
      <c r="CL1577">
        <v>0</v>
      </c>
      <c r="CM1577">
        <v>2</v>
      </c>
      <c r="CN1577">
        <v>0</v>
      </c>
      <c r="CO1577">
        <v>6</v>
      </c>
      <c r="CP1577" t="s">
        <v>119</v>
      </c>
      <c r="CQ1577">
        <v>232</v>
      </c>
      <c r="CR1577">
        <v>1</v>
      </c>
      <c r="CW1577">
        <v>15623121</v>
      </c>
      <c r="CY1577">
        <v>1</v>
      </c>
      <c r="CZ1577">
        <v>0</v>
      </c>
      <c r="DA1577">
        <v>1</v>
      </c>
      <c r="DB1577">
        <v>0</v>
      </c>
      <c r="DC1577">
        <v>0</v>
      </c>
      <c r="DD1577">
        <v>1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>"12/16/2021 14:51:23.242"</f>
        <v>12/16/2021 14:51:23.242</v>
      </c>
      <c r="C1578" t="str">
        <f t="shared" si="76"/>
        <v>FFDFD3C0</v>
      </c>
      <c r="D1578" t="s">
        <v>133</v>
      </c>
      <c r="E1578">
        <v>44</v>
      </c>
      <c r="H1578">
        <v>131</v>
      </c>
      <c r="I1578" t="s">
        <v>134</v>
      </c>
      <c r="J1578" t="s">
        <v>135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>"14:51:22.867"</f>
        <v>14:51:22.867</v>
      </c>
      <c r="T1578" t="str">
        <f>"14:51:22.367"</f>
        <v>14:51:22.367</v>
      </c>
      <c r="U1578" t="str">
        <f t="shared" si="78"/>
        <v>A0F928</v>
      </c>
      <c r="V1578">
        <v>0</v>
      </c>
      <c r="W1578">
        <v>0</v>
      </c>
      <c r="X1578">
        <v>2</v>
      </c>
      <c r="Z1578">
        <v>0</v>
      </c>
      <c r="AA1578">
        <v>9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2</v>
      </c>
      <c r="AH1578">
        <v>1</v>
      </c>
      <c r="AI1578" t="s">
        <v>859</v>
      </c>
      <c r="AJ1578">
        <v>35.813476999999999</v>
      </c>
      <c r="AK1578" t="s">
        <v>860</v>
      </c>
      <c r="AL1578">
        <v>-84.033265</v>
      </c>
      <c r="AM1578">
        <v>25</v>
      </c>
      <c r="AN1578">
        <v>1550</v>
      </c>
      <c r="AO1578" t="s">
        <v>118</v>
      </c>
      <c r="AP1578">
        <v>105</v>
      </c>
      <c r="AQ1578">
        <v>99</v>
      </c>
      <c r="AR1578">
        <v>640</v>
      </c>
      <c r="AZ1578">
        <v>300</v>
      </c>
      <c r="BA1578">
        <v>1</v>
      </c>
      <c r="BB1578" t="str">
        <f t="shared" si="77"/>
        <v xml:space="preserve">N162AM  </v>
      </c>
      <c r="BC1578">
        <v>1</v>
      </c>
      <c r="BE1578">
        <v>0</v>
      </c>
      <c r="BF1578">
        <v>0</v>
      </c>
      <c r="BG1578">
        <v>0</v>
      </c>
      <c r="BH1578">
        <v>1825</v>
      </c>
      <c r="BI1578">
        <v>1</v>
      </c>
      <c r="BJ1578">
        <v>1</v>
      </c>
      <c r="BK1578">
        <v>1</v>
      </c>
      <c r="BL1578">
        <v>0</v>
      </c>
      <c r="BO1578">
        <v>0</v>
      </c>
      <c r="BP1578">
        <v>0</v>
      </c>
      <c r="BW1578" t="str">
        <f>"14:51:22.873"</f>
        <v>14:51:22.873</v>
      </c>
      <c r="CJ1578">
        <v>3</v>
      </c>
      <c r="CK1578">
        <v>2</v>
      </c>
      <c r="CL1578">
        <v>0</v>
      </c>
      <c r="CM1578">
        <v>2</v>
      </c>
      <c r="CN1578">
        <v>0</v>
      </c>
      <c r="CO1578">
        <v>6</v>
      </c>
      <c r="CP1578" t="s">
        <v>119</v>
      </c>
      <c r="CQ1578">
        <v>232</v>
      </c>
      <c r="CR1578">
        <v>1</v>
      </c>
      <c r="CW1578">
        <v>15624743</v>
      </c>
      <c r="CY1578">
        <v>1</v>
      </c>
      <c r="CZ1578">
        <v>0</v>
      </c>
      <c r="DA1578">
        <v>0</v>
      </c>
      <c r="DB1578">
        <v>0</v>
      </c>
      <c r="DC1578">
        <v>0</v>
      </c>
      <c r="DD1578">
        <v>1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>"12/16/2021 14:51:23.242"</f>
        <v>12/16/2021 14:51:23.242</v>
      </c>
      <c r="C1579" t="str">
        <f t="shared" si="76"/>
        <v>FFDFD3C0</v>
      </c>
      <c r="D1579" t="s">
        <v>124</v>
      </c>
      <c r="E1579">
        <v>5</v>
      </c>
      <c r="F1579">
        <v>1005</v>
      </c>
      <c r="G1579" t="s">
        <v>114</v>
      </c>
      <c r="J1579" t="s">
        <v>125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>"14:51:22.867"</f>
        <v>14:51:22.867</v>
      </c>
      <c r="T1579" t="str">
        <f>"14:51:22.367"</f>
        <v>14:51:22.367</v>
      </c>
      <c r="U1579" t="str">
        <f t="shared" si="78"/>
        <v>A0F928</v>
      </c>
      <c r="V1579">
        <v>0</v>
      </c>
      <c r="W1579">
        <v>0</v>
      </c>
      <c r="X1579">
        <v>2</v>
      </c>
      <c r="Z1579">
        <v>0</v>
      </c>
      <c r="AA1579">
        <v>9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2</v>
      </c>
      <c r="AH1579">
        <v>1</v>
      </c>
      <c r="AI1579" t="s">
        <v>859</v>
      </c>
      <c r="AJ1579">
        <v>35.813476999999999</v>
      </c>
      <c r="AK1579" t="s">
        <v>860</v>
      </c>
      <c r="AL1579">
        <v>-84.033265</v>
      </c>
      <c r="AM1579">
        <v>25</v>
      </c>
      <c r="AN1579">
        <v>1550</v>
      </c>
      <c r="AO1579" t="s">
        <v>118</v>
      </c>
      <c r="AP1579">
        <v>105</v>
      </c>
      <c r="AQ1579">
        <v>99</v>
      </c>
      <c r="AR1579">
        <v>640</v>
      </c>
      <c r="AZ1579">
        <v>300</v>
      </c>
      <c r="BA1579">
        <v>1</v>
      </c>
      <c r="BB1579" t="str">
        <f t="shared" si="77"/>
        <v xml:space="preserve">N162AM  </v>
      </c>
      <c r="BC1579">
        <v>1</v>
      </c>
      <c r="BE1579">
        <v>0</v>
      </c>
      <c r="BF1579">
        <v>0</v>
      </c>
      <c r="BG1579">
        <v>0</v>
      </c>
      <c r="BH1579">
        <v>1825</v>
      </c>
      <c r="BI1579">
        <v>1</v>
      </c>
      <c r="BJ1579">
        <v>1</v>
      </c>
      <c r="BK1579">
        <v>1</v>
      </c>
      <c r="BL1579">
        <v>0</v>
      </c>
      <c r="BO1579">
        <v>0</v>
      </c>
      <c r="BP1579">
        <v>0</v>
      </c>
      <c r="BW1579" t="str">
        <f>"14:51:22.873"</f>
        <v>14:51:22.873</v>
      </c>
      <c r="CJ1579">
        <v>3</v>
      </c>
      <c r="CK1579">
        <v>2</v>
      </c>
      <c r="CL1579">
        <v>0</v>
      </c>
      <c r="CM1579">
        <v>2</v>
      </c>
      <c r="CN1579">
        <v>0</v>
      </c>
      <c r="CO1579">
        <v>6</v>
      </c>
      <c r="CP1579" t="s">
        <v>119</v>
      </c>
      <c r="CQ1579">
        <v>232</v>
      </c>
      <c r="CR1579">
        <v>1</v>
      </c>
      <c r="CW1579">
        <v>15624743</v>
      </c>
      <c r="CY1579">
        <v>1</v>
      </c>
      <c r="CZ1579">
        <v>0</v>
      </c>
      <c r="DA1579">
        <v>1</v>
      </c>
      <c r="DB1579">
        <v>0</v>
      </c>
      <c r="DC1579">
        <v>0</v>
      </c>
      <c r="DD1579">
        <v>1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>"12/16/2021 14:51:23.242"</f>
        <v>12/16/2021 14:51:23.242</v>
      </c>
      <c r="C1580" t="str">
        <f t="shared" si="76"/>
        <v>FFDFD3C0</v>
      </c>
      <c r="D1580" t="s">
        <v>113</v>
      </c>
      <c r="E1580">
        <v>8</v>
      </c>
      <c r="H1580">
        <v>176</v>
      </c>
      <c r="I1580" t="s">
        <v>114</v>
      </c>
      <c r="J1580" t="s">
        <v>115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>"14:51:22.867"</f>
        <v>14:51:22.867</v>
      </c>
      <c r="T1580" t="str">
        <f>"14:51:22.367"</f>
        <v>14:51:22.367</v>
      </c>
      <c r="U1580" t="str">
        <f t="shared" si="78"/>
        <v>A0F928</v>
      </c>
      <c r="V1580">
        <v>0</v>
      </c>
      <c r="W1580">
        <v>0</v>
      </c>
      <c r="X1580">
        <v>2</v>
      </c>
      <c r="Z1580">
        <v>0</v>
      </c>
      <c r="AA1580">
        <v>9</v>
      </c>
      <c r="AB1580">
        <v>3</v>
      </c>
      <c r="AC1580">
        <v>0</v>
      </c>
      <c r="AD1580">
        <v>10</v>
      </c>
      <c r="AE1580">
        <v>0</v>
      </c>
      <c r="AF1580">
        <v>3</v>
      </c>
      <c r="AG1580">
        <v>2</v>
      </c>
      <c r="AH1580">
        <v>1</v>
      </c>
      <c r="AI1580" t="s">
        <v>859</v>
      </c>
      <c r="AJ1580">
        <v>35.813476999999999</v>
      </c>
      <c r="AK1580" t="s">
        <v>860</v>
      </c>
      <c r="AL1580">
        <v>-84.033265</v>
      </c>
      <c r="AM1580">
        <v>25</v>
      </c>
      <c r="AN1580">
        <v>1550</v>
      </c>
      <c r="AO1580" t="s">
        <v>118</v>
      </c>
      <c r="AP1580">
        <v>105</v>
      </c>
      <c r="AQ1580">
        <v>99</v>
      </c>
      <c r="AR1580">
        <v>640</v>
      </c>
      <c r="AZ1580">
        <v>300</v>
      </c>
      <c r="BA1580">
        <v>1</v>
      </c>
      <c r="BB1580" t="str">
        <f t="shared" si="77"/>
        <v xml:space="preserve">N162AM  </v>
      </c>
      <c r="BC1580">
        <v>1</v>
      </c>
      <c r="BE1580">
        <v>0</v>
      </c>
      <c r="BF1580">
        <v>0</v>
      </c>
      <c r="BG1580">
        <v>0</v>
      </c>
      <c r="BH1580">
        <v>1825</v>
      </c>
      <c r="BI1580">
        <v>1</v>
      </c>
      <c r="BJ1580">
        <v>1</v>
      </c>
      <c r="BK1580">
        <v>1</v>
      </c>
      <c r="BL1580">
        <v>0</v>
      </c>
      <c r="BO1580">
        <v>0</v>
      </c>
      <c r="BP1580">
        <v>0</v>
      </c>
      <c r="BW1580" t="str">
        <f>"14:51:22.873"</f>
        <v>14:51:22.873</v>
      </c>
      <c r="CJ1580">
        <v>3</v>
      </c>
      <c r="CK1580">
        <v>2</v>
      </c>
      <c r="CL1580">
        <v>0</v>
      </c>
      <c r="CM1580">
        <v>2</v>
      </c>
      <c r="CN1580">
        <v>0</v>
      </c>
      <c r="CO1580">
        <v>6</v>
      </c>
      <c r="CP1580" t="s">
        <v>119</v>
      </c>
      <c r="CQ1580">
        <v>232</v>
      </c>
      <c r="CR1580">
        <v>1</v>
      </c>
      <c r="CW1580">
        <v>15624743</v>
      </c>
      <c r="CY1580">
        <v>1</v>
      </c>
      <c r="CZ1580">
        <v>0</v>
      </c>
      <c r="DA1580">
        <v>1</v>
      </c>
      <c r="DB1580">
        <v>0</v>
      </c>
      <c r="DC1580">
        <v>0</v>
      </c>
      <c r="DD1580">
        <v>1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>"12/16/2021 14:51:23.242"</f>
        <v>12/16/2021 14:51:23.242</v>
      </c>
      <c r="C1581" t="str">
        <f t="shared" si="76"/>
        <v>FFDFD3C0</v>
      </c>
      <c r="D1581" t="s">
        <v>124</v>
      </c>
      <c r="E1581">
        <v>10</v>
      </c>
      <c r="F1581">
        <v>1010</v>
      </c>
      <c r="G1581" t="s">
        <v>130</v>
      </c>
      <c r="J1581" t="s">
        <v>125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>"14:51:22.867"</f>
        <v>14:51:22.867</v>
      </c>
      <c r="T1581" t="str">
        <f>"14:51:22.367"</f>
        <v>14:51:22.367</v>
      </c>
      <c r="U1581" t="str">
        <f t="shared" si="78"/>
        <v>A0F928</v>
      </c>
      <c r="V1581">
        <v>0</v>
      </c>
      <c r="W1581">
        <v>0</v>
      </c>
      <c r="X1581">
        <v>2</v>
      </c>
      <c r="Z1581">
        <v>0</v>
      </c>
      <c r="AA1581">
        <v>9</v>
      </c>
      <c r="AB1581">
        <v>3</v>
      </c>
      <c r="AC1581">
        <v>0</v>
      </c>
      <c r="AD1581">
        <v>10</v>
      </c>
      <c r="AE1581">
        <v>0</v>
      </c>
      <c r="AF1581">
        <v>3</v>
      </c>
      <c r="AG1581">
        <v>2</v>
      </c>
      <c r="AH1581">
        <v>1</v>
      </c>
      <c r="AI1581" t="s">
        <v>859</v>
      </c>
      <c r="AJ1581">
        <v>35.813476999999999</v>
      </c>
      <c r="AK1581" t="s">
        <v>860</v>
      </c>
      <c r="AL1581">
        <v>-84.033265</v>
      </c>
      <c r="AM1581">
        <v>25</v>
      </c>
      <c r="AN1581">
        <v>1550</v>
      </c>
      <c r="AO1581" t="s">
        <v>118</v>
      </c>
      <c r="AP1581">
        <v>105</v>
      </c>
      <c r="AQ1581">
        <v>99</v>
      </c>
      <c r="AR1581">
        <v>640</v>
      </c>
      <c r="AZ1581">
        <v>300</v>
      </c>
      <c r="BA1581">
        <v>1</v>
      </c>
      <c r="BB1581" t="str">
        <f t="shared" si="77"/>
        <v xml:space="preserve">N162AM  </v>
      </c>
      <c r="BC1581">
        <v>1</v>
      </c>
      <c r="BE1581">
        <v>0</v>
      </c>
      <c r="BF1581">
        <v>0</v>
      </c>
      <c r="BG1581">
        <v>0</v>
      </c>
      <c r="BH1581">
        <v>1825</v>
      </c>
      <c r="BI1581">
        <v>1</v>
      </c>
      <c r="BJ1581">
        <v>1</v>
      </c>
      <c r="BK1581">
        <v>1</v>
      </c>
      <c r="BL1581">
        <v>0</v>
      </c>
      <c r="BO1581">
        <v>0</v>
      </c>
      <c r="BP1581">
        <v>0</v>
      </c>
      <c r="BW1581" t="str">
        <f>"14:51:22.873"</f>
        <v>14:51:22.873</v>
      </c>
      <c r="CJ1581">
        <v>3</v>
      </c>
      <c r="CK1581">
        <v>2</v>
      </c>
      <c r="CL1581">
        <v>0</v>
      </c>
      <c r="CM1581">
        <v>2</v>
      </c>
      <c r="CN1581">
        <v>0</v>
      </c>
      <c r="CO1581">
        <v>6</v>
      </c>
      <c r="CP1581" t="s">
        <v>119</v>
      </c>
      <c r="CQ1581">
        <v>232</v>
      </c>
      <c r="CR1581">
        <v>1</v>
      </c>
      <c r="CW1581">
        <v>15624743</v>
      </c>
      <c r="CY1581">
        <v>1</v>
      </c>
      <c r="CZ1581">
        <v>0</v>
      </c>
      <c r="DA1581">
        <v>1</v>
      </c>
      <c r="DB1581">
        <v>0</v>
      </c>
      <c r="DC1581">
        <v>0</v>
      </c>
      <c r="DD1581">
        <v>1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>"12/16/2021 14:51:24.430"</f>
        <v>12/16/2021 14:51:24.430</v>
      </c>
      <c r="C1582" t="str">
        <f t="shared" ref="C1582:C1645" si="79">"FFDFD3C0"</f>
        <v>FFDFD3C0</v>
      </c>
      <c r="D1582" t="s">
        <v>133</v>
      </c>
      <c r="E1582">
        <v>44</v>
      </c>
      <c r="H1582">
        <v>131</v>
      </c>
      <c r="I1582" t="s">
        <v>134</v>
      </c>
      <c r="J1582" t="s">
        <v>135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>"14:51:24.227"</f>
        <v>14:51:24.227</v>
      </c>
      <c r="T1582" t="str">
        <f>"14:51:23.727"</f>
        <v>14:51:23.727</v>
      </c>
      <c r="U1582" t="str">
        <f t="shared" si="78"/>
        <v>A0F928</v>
      </c>
      <c r="V1582">
        <v>0</v>
      </c>
      <c r="W1582">
        <v>0</v>
      </c>
      <c r="X1582">
        <v>2</v>
      </c>
      <c r="Z1582">
        <v>0</v>
      </c>
      <c r="AA1582">
        <v>9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2</v>
      </c>
      <c r="AH1582">
        <v>1</v>
      </c>
      <c r="AI1582" t="s">
        <v>861</v>
      </c>
      <c r="AJ1582">
        <v>35.814098999999999</v>
      </c>
      <c r="AK1582" t="s">
        <v>862</v>
      </c>
      <c r="AL1582">
        <v>-84.032471000000001</v>
      </c>
      <c r="AM1582">
        <v>25</v>
      </c>
      <c r="AN1582">
        <v>1575</v>
      </c>
      <c r="AO1582" t="s">
        <v>118</v>
      </c>
      <c r="AP1582">
        <v>106</v>
      </c>
      <c r="AQ1582">
        <v>98</v>
      </c>
      <c r="AR1582">
        <v>640</v>
      </c>
      <c r="AZ1582">
        <v>300</v>
      </c>
      <c r="BA1582">
        <v>1</v>
      </c>
      <c r="BB1582" t="str">
        <f t="shared" ref="BB1582:BB1645" si="80">"N162AM  "</f>
        <v xml:space="preserve">N162AM  </v>
      </c>
      <c r="BC1582">
        <v>1</v>
      </c>
      <c r="BE1582">
        <v>0</v>
      </c>
      <c r="BF1582">
        <v>0</v>
      </c>
      <c r="BG1582">
        <v>0</v>
      </c>
      <c r="BH1582">
        <v>1800</v>
      </c>
      <c r="BI1582">
        <v>1</v>
      </c>
      <c r="BJ1582">
        <v>1</v>
      </c>
      <c r="BK1582">
        <v>1</v>
      </c>
      <c r="BL1582">
        <v>0</v>
      </c>
      <c r="BO1582">
        <v>0</v>
      </c>
      <c r="BP1582">
        <v>0</v>
      </c>
      <c r="BW1582" t="str">
        <f>"14:51:24.231"</f>
        <v>14:51:24.231</v>
      </c>
      <c r="CJ1582">
        <v>3</v>
      </c>
      <c r="CK1582">
        <v>2</v>
      </c>
      <c r="CL1582">
        <v>0</v>
      </c>
      <c r="CM1582">
        <v>2</v>
      </c>
      <c r="CN1582">
        <v>0</v>
      </c>
      <c r="CO1582">
        <v>7</v>
      </c>
      <c r="CP1582" t="s">
        <v>119</v>
      </c>
      <c r="CQ1582">
        <v>232</v>
      </c>
      <c r="CR1582">
        <v>2</v>
      </c>
      <c r="CW1582">
        <v>6831675</v>
      </c>
      <c r="CY1582">
        <v>1</v>
      </c>
      <c r="CZ1582">
        <v>0</v>
      </c>
      <c r="DA1582">
        <v>0</v>
      </c>
      <c r="DB1582">
        <v>0</v>
      </c>
      <c r="DC1582">
        <v>0</v>
      </c>
      <c r="DD1582">
        <v>1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>"12/16/2021 14:51:24.430"</f>
        <v>12/16/2021 14:51:24.430</v>
      </c>
      <c r="C1583" t="str">
        <f t="shared" si="79"/>
        <v>FFDFD3C0</v>
      </c>
      <c r="D1583" t="s">
        <v>124</v>
      </c>
      <c r="E1583">
        <v>5</v>
      </c>
      <c r="F1583">
        <v>1005</v>
      </c>
      <c r="G1583" t="s">
        <v>114</v>
      </c>
      <c r="J1583" t="s">
        <v>125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>"14:51:24.227"</f>
        <v>14:51:24.227</v>
      </c>
      <c r="T1583" t="str">
        <f>"14:51:23.727"</f>
        <v>14:51:23.727</v>
      </c>
      <c r="U1583" t="str">
        <f t="shared" si="78"/>
        <v>A0F928</v>
      </c>
      <c r="V1583">
        <v>0</v>
      </c>
      <c r="W1583">
        <v>0</v>
      </c>
      <c r="X1583">
        <v>2</v>
      </c>
      <c r="Z1583">
        <v>0</v>
      </c>
      <c r="AA1583">
        <v>9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2</v>
      </c>
      <c r="AH1583">
        <v>1</v>
      </c>
      <c r="AI1583" t="s">
        <v>861</v>
      </c>
      <c r="AJ1583">
        <v>35.814098999999999</v>
      </c>
      <c r="AK1583" t="s">
        <v>862</v>
      </c>
      <c r="AL1583">
        <v>-84.032471000000001</v>
      </c>
      <c r="AM1583">
        <v>25</v>
      </c>
      <c r="AN1583">
        <v>1575</v>
      </c>
      <c r="AO1583" t="s">
        <v>118</v>
      </c>
      <c r="AP1583">
        <v>106</v>
      </c>
      <c r="AQ1583">
        <v>98</v>
      </c>
      <c r="AR1583">
        <v>640</v>
      </c>
      <c r="AZ1583">
        <v>300</v>
      </c>
      <c r="BA1583">
        <v>1</v>
      </c>
      <c r="BB1583" t="str">
        <f t="shared" si="80"/>
        <v xml:space="preserve">N162AM  </v>
      </c>
      <c r="BC1583">
        <v>1</v>
      </c>
      <c r="BE1583">
        <v>0</v>
      </c>
      <c r="BF1583">
        <v>0</v>
      </c>
      <c r="BG1583">
        <v>0</v>
      </c>
      <c r="BH1583">
        <v>1800</v>
      </c>
      <c r="BI1583">
        <v>1</v>
      </c>
      <c r="BJ1583">
        <v>1</v>
      </c>
      <c r="BK1583">
        <v>1</v>
      </c>
      <c r="BL1583">
        <v>0</v>
      </c>
      <c r="BO1583">
        <v>0</v>
      </c>
      <c r="BP1583">
        <v>0</v>
      </c>
      <c r="BW1583" t="str">
        <f>"14:51:24.231"</f>
        <v>14:51:24.231</v>
      </c>
      <c r="CJ1583">
        <v>3</v>
      </c>
      <c r="CK1583">
        <v>2</v>
      </c>
      <c r="CL1583">
        <v>0</v>
      </c>
      <c r="CM1583">
        <v>2</v>
      </c>
      <c r="CN1583">
        <v>0</v>
      </c>
      <c r="CO1583">
        <v>7</v>
      </c>
      <c r="CP1583" t="s">
        <v>119</v>
      </c>
      <c r="CQ1583">
        <v>232</v>
      </c>
      <c r="CR1583">
        <v>2</v>
      </c>
      <c r="CW1583">
        <v>6831675</v>
      </c>
      <c r="CY1583">
        <v>1</v>
      </c>
      <c r="CZ1583">
        <v>0</v>
      </c>
      <c r="DA1583">
        <v>1</v>
      </c>
      <c r="DB1583">
        <v>0</v>
      </c>
      <c r="DC1583">
        <v>0</v>
      </c>
      <c r="DD1583">
        <v>1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>"12/16/2021 14:51:24.461"</f>
        <v>12/16/2021 14:51:24.461</v>
      </c>
      <c r="C1584" t="str">
        <f t="shared" si="79"/>
        <v>FFDFD3C0</v>
      </c>
      <c r="D1584" t="s">
        <v>124</v>
      </c>
      <c r="E1584">
        <v>10</v>
      </c>
      <c r="F1584">
        <v>1010</v>
      </c>
      <c r="G1584" t="s">
        <v>130</v>
      </c>
      <c r="J1584" t="s">
        <v>125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>"14:51:24.227"</f>
        <v>14:51:24.227</v>
      </c>
      <c r="T1584" t="str">
        <f>"14:51:23.727"</f>
        <v>14:51:23.727</v>
      </c>
      <c r="U1584" t="str">
        <f t="shared" si="78"/>
        <v>A0F928</v>
      </c>
      <c r="V1584">
        <v>0</v>
      </c>
      <c r="W1584">
        <v>0</v>
      </c>
      <c r="X1584">
        <v>2</v>
      </c>
      <c r="Z1584">
        <v>0</v>
      </c>
      <c r="AA1584">
        <v>9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2</v>
      </c>
      <c r="AH1584">
        <v>1</v>
      </c>
      <c r="AI1584" t="s">
        <v>861</v>
      </c>
      <c r="AJ1584">
        <v>35.814098999999999</v>
      </c>
      <c r="AK1584" t="s">
        <v>862</v>
      </c>
      <c r="AL1584">
        <v>-84.032471000000001</v>
      </c>
      <c r="AM1584">
        <v>25</v>
      </c>
      <c r="AN1584">
        <v>1575</v>
      </c>
      <c r="AO1584" t="s">
        <v>118</v>
      </c>
      <c r="AP1584">
        <v>106</v>
      </c>
      <c r="AQ1584">
        <v>98</v>
      </c>
      <c r="AR1584">
        <v>640</v>
      </c>
      <c r="AZ1584">
        <v>300</v>
      </c>
      <c r="BA1584">
        <v>1</v>
      </c>
      <c r="BB1584" t="str">
        <f t="shared" si="80"/>
        <v xml:space="preserve">N162AM  </v>
      </c>
      <c r="BC1584">
        <v>1</v>
      </c>
      <c r="BE1584">
        <v>0</v>
      </c>
      <c r="BF1584">
        <v>0</v>
      </c>
      <c r="BG1584">
        <v>0</v>
      </c>
      <c r="BH1584">
        <v>1800</v>
      </c>
      <c r="BI1584">
        <v>1</v>
      </c>
      <c r="BJ1584">
        <v>1</v>
      </c>
      <c r="BK1584">
        <v>1</v>
      </c>
      <c r="BL1584">
        <v>0</v>
      </c>
      <c r="BO1584">
        <v>0</v>
      </c>
      <c r="BP1584">
        <v>0</v>
      </c>
      <c r="BW1584" t="str">
        <f>"14:51:24.231"</f>
        <v>14:51:24.231</v>
      </c>
      <c r="CJ1584">
        <v>3</v>
      </c>
      <c r="CK1584">
        <v>2</v>
      </c>
      <c r="CL1584">
        <v>0</v>
      </c>
      <c r="CM1584">
        <v>2</v>
      </c>
      <c r="CN1584">
        <v>0</v>
      </c>
      <c r="CO1584">
        <v>7</v>
      </c>
      <c r="CP1584" t="s">
        <v>119</v>
      </c>
      <c r="CQ1584">
        <v>232</v>
      </c>
      <c r="CR1584">
        <v>2</v>
      </c>
      <c r="CW1584">
        <v>6831675</v>
      </c>
      <c r="CY1584">
        <v>1</v>
      </c>
      <c r="CZ1584">
        <v>0</v>
      </c>
      <c r="DA1584">
        <v>1</v>
      </c>
      <c r="DB1584">
        <v>0</v>
      </c>
      <c r="DC1584">
        <v>0</v>
      </c>
      <c r="DD1584">
        <v>1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>"12/16/2021 14:51:24.461"</f>
        <v>12/16/2021 14:51:24.461</v>
      </c>
      <c r="C1585" t="str">
        <f t="shared" si="79"/>
        <v>FFDFD3C0</v>
      </c>
      <c r="D1585" t="s">
        <v>113</v>
      </c>
      <c r="E1585">
        <v>8</v>
      </c>
      <c r="H1585">
        <v>176</v>
      </c>
      <c r="I1585" t="s">
        <v>114</v>
      </c>
      <c r="J1585" t="s">
        <v>115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>"14:51:24.227"</f>
        <v>14:51:24.227</v>
      </c>
      <c r="T1585" t="str">
        <f>"14:51:23.727"</f>
        <v>14:51:23.727</v>
      </c>
      <c r="U1585" t="str">
        <f t="shared" si="78"/>
        <v>A0F928</v>
      </c>
      <c r="V1585">
        <v>0</v>
      </c>
      <c r="W1585">
        <v>0</v>
      </c>
      <c r="X1585">
        <v>2</v>
      </c>
      <c r="Z1585">
        <v>0</v>
      </c>
      <c r="AA1585">
        <v>9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2</v>
      </c>
      <c r="AH1585">
        <v>1</v>
      </c>
      <c r="AI1585" t="s">
        <v>861</v>
      </c>
      <c r="AJ1585">
        <v>35.814098999999999</v>
      </c>
      <c r="AK1585" t="s">
        <v>862</v>
      </c>
      <c r="AL1585">
        <v>-84.032471000000001</v>
      </c>
      <c r="AM1585">
        <v>25</v>
      </c>
      <c r="AN1585">
        <v>1575</v>
      </c>
      <c r="AO1585" t="s">
        <v>118</v>
      </c>
      <c r="AP1585">
        <v>106</v>
      </c>
      <c r="AQ1585">
        <v>98</v>
      </c>
      <c r="AR1585">
        <v>640</v>
      </c>
      <c r="AZ1585">
        <v>300</v>
      </c>
      <c r="BA1585">
        <v>1</v>
      </c>
      <c r="BB1585" t="str">
        <f t="shared" si="80"/>
        <v xml:space="preserve">N162AM  </v>
      </c>
      <c r="BC1585">
        <v>1</v>
      </c>
      <c r="BE1585">
        <v>0</v>
      </c>
      <c r="BF1585">
        <v>0</v>
      </c>
      <c r="BG1585">
        <v>0</v>
      </c>
      <c r="BH1585">
        <v>1800</v>
      </c>
      <c r="BI1585">
        <v>1</v>
      </c>
      <c r="BJ1585">
        <v>1</v>
      </c>
      <c r="BK1585">
        <v>1</v>
      </c>
      <c r="BL1585">
        <v>0</v>
      </c>
      <c r="BO1585">
        <v>0</v>
      </c>
      <c r="BP1585">
        <v>0</v>
      </c>
      <c r="BW1585" t="str">
        <f>"14:51:24.231"</f>
        <v>14:51:24.231</v>
      </c>
      <c r="CJ1585">
        <v>3</v>
      </c>
      <c r="CK1585">
        <v>2</v>
      </c>
      <c r="CL1585">
        <v>0</v>
      </c>
      <c r="CM1585">
        <v>2</v>
      </c>
      <c r="CN1585">
        <v>0</v>
      </c>
      <c r="CO1585">
        <v>7</v>
      </c>
      <c r="CP1585" t="s">
        <v>119</v>
      </c>
      <c r="CQ1585">
        <v>232</v>
      </c>
      <c r="CR1585">
        <v>2</v>
      </c>
      <c r="CW1585">
        <v>6831675</v>
      </c>
      <c r="CY1585">
        <v>1</v>
      </c>
      <c r="CZ1585">
        <v>0</v>
      </c>
      <c r="DA1585">
        <v>1</v>
      </c>
      <c r="DB1585">
        <v>0</v>
      </c>
      <c r="DC1585">
        <v>0</v>
      </c>
      <c r="DD1585">
        <v>1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>"12/16/2021 14:51:25.407"</f>
        <v>12/16/2021 14:51:25.407</v>
      </c>
      <c r="C1586" t="str">
        <f t="shared" si="79"/>
        <v>FFDFD3C0</v>
      </c>
      <c r="D1586" t="s">
        <v>124</v>
      </c>
      <c r="E1586">
        <v>10</v>
      </c>
      <c r="F1586">
        <v>1010</v>
      </c>
      <c r="G1586" t="s">
        <v>130</v>
      </c>
      <c r="J1586" t="s">
        <v>125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"14:51:25.211"</f>
        <v>14:51:25.211</v>
      </c>
      <c r="T1586" t="str">
        <f>"14:51:24.811"</f>
        <v>14:51:24.811</v>
      </c>
      <c r="U1586" t="str">
        <f t="shared" si="78"/>
        <v>A0F928</v>
      </c>
      <c r="V1586">
        <v>0</v>
      </c>
      <c r="W1586">
        <v>0</v>
      </c>
      <c r="X1586">
        <v>2</v>
      </c>
      <c r="Z1586">
        <v>0</v>
      </c>
      <c r="AA1586">
        <v>9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2</v>
      </c>
      <c r="AH1586">
        <v>1</v>
      </c>
      <c r="AI1586" t="s">
        <v>863</v>
      </c>
      <c r="AJ1586">
        <v>35.814549999999997</v>
      </c>
      <c r="AK1586" t="s">
        <v>864</v>
      </c>
      <c r="AL1586">
        <v>-84.031848999999994</v>
      </c>
      <c r="AM1586">
        <v>25</v>
      </c>
      <c r="AN1586">
        <v>1575</v>
      </c>
      <c r="AO1586" t="s">
        <v>118</v>
      </c>
      <c r="AP1586">
        <v>106</v>
      </c>
      <c r="AQ1586">
        <v>98</v>
      </c>
      <c r="AR1586">
        <v>640</v>
      </c>
      <c r="AZ1586">
        <v>300</v>
      </c>
      <c r="BA1586">
        <v>1</v>
      </c>
      <c r="BB1586" t="str">
        <f t="shared" si="80"/>
        <v xml:space="preserve">N162AM  </v>
      </c>
      <c r="BC1586">
        <v>1</v>
      </c>
      <c r="BE1586">
        <v>0</v>
      </c>
      <c r="BF1586">
        <v>0</v>
      </c>
      <c r="BG1586">
        <v>0</v>
      </c>
      <c r="BH1586">
        <v>1825</v>
      </c>
      <c r="BI1586">
        <v>1</v>
      </c>
      <c r="BJ1586">
        <v>1</v>
      </c>
      <c r="BK1586">
        <v>1</v>
      </c>
      <c r="BL1586">
        <v>0</v>
      </c>
      <c r="BO1586">
        <v>0</v>
      </c>
      <c r="BP1586">
        <v>0</v>
      </c>
      <c r="BW1586" t="str">
        <f>"14:51:25.213"</f>
        <v>14:51:25.213</v>
      </c>
      <c r="CJ1586">
        <v>3</v>
      </c>
      <c r="CK1586">
        <v>2</v>
      </c>
      <c r="CL1586">
        <v>0</v>
      </c>
      <c r="CM1586">
        <v>2</v>
      </c>
      <c r="CN1586">
        <v>0</v>
      </c>
      <c r="CO1586">
        <v>6</v>
      </c>
      <c r="CP1586" t="s">
        <v>119</v>
      </c>
      <c r="CQ1586">
        <v>232</v>
      </c>
      <c r="CR1586">
        <v>1</v>
      </c>
      <c r="CW1586">
        <v>15628072</v>
      </c>
      <c r="CY1586">
        <v>1</v>
      </c>
      <c r="CZ1586">
        <v>0</v>
      </c>
      <c r="DA1586">
        <v>0</v>
      </c>
      <c r="DB1586">
        <v>0</v>
      </c>
      <c r="DC1586">
        <v>0</v>
      </c>
      <c r="DD1586">
        <v>1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>"12/16/2021 14:51:25.407"</f>
        <v>12/16/2021 14:51:25.407</v>
      </c>
      <c r="C1587" t="str">
        <f t="shared" si="79"/>
        <v>FFDFD3C0</v>
      </c>
      <c r="D1587" t="s">
        <v>113</v>
      </c>
      <c r="E1587">
        <v>8</v>
      </c>
      <c r="H1587">
        <v>176</v>
      </c>
      <c r="I1587" t="s">
        <v>114</v>
      </c>
      <c r="J1587" t="s">
        <v>115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"14:51:25.211"</f>
        <v>14:51:25.211</v>
      </c>
      <c r="T1587" t="str">
        <f>"14:51:24.811"</f>
        <v>14:51:24.811</v>
      </c>
      <c r="U1587" t="str">
        <f t="shared" si="78"/>
        <v>A0F928</v>
      </c>
      <c r="V1587">
        <v>0</v>
      </c>
      <c r="W1587">
        <v>0</v>
      </c>
      <c r="X1587">
        <v>2</v>
      </c>
      <c r="Z1587">
        <v>0</v>
      </c>
      <c r="AA1587">
        <v>9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2</v>
      </c>
      <c r="AH1587">
        <v>1</v>
      </c>
      <c r="AI1587" t="s">
        <v>863</v>
      </c>
      <c r="AJ1587">
        <v>35.814549999999997</v>
      </c>
      <c r="AK1587" t="s">
        <v>864</v>
      </c>
      <c r="AL1587">
        <v>-84.031848999999994</v>
      </c>
      <c r="AM1587">
        <v>25</v>
      </c>
      <c r="AN1587">
        <v>1575</v>
      </c>
      <c r="AO1587" t="s">
        <v>118</v>
      </c>
      <c r="AP1587">
        <v>106</v>
      </c>
      <c r="AQ1587">
        <v>98</v>
      </c>
      <c r="AR1587">
        <v>640</v>
      </c>
      <c r="AZ1587">
        <v>300</v>
      </c>
      <c r="BA1587">
        <v>1</v>
      </c>
      <c r="BB1587" t="str">
        <f t="shared" si="80"/>
        <v xml:space="preserve">N162AM  </v>
      </c>
      <c r="BC1587">
        <v>1</v>
      </c>
      <c r="BE1587">
        <v>0</v>
      </c>
      <c r="BF1587">
        <v>0</v>
      </c>
      <c r="BG1587">
        <v>0</v>
      </c>
      <c r="BH1587">
        <v>1825</v>
      </c>
      <c r="BI1587">
        <v>1</v>
      </c>
      <c r="BJ1587">
        <v>1</v>
      </c>
      <c r="BK1587">
        <v>1</v>
      </c>
      <c r="BL1587">
        <v>0</v>
      </c>
      <c r="BO1587">
        <v>0</v>
      </c>
      <c r="BP1587">
        <v>0</v>
      </c>
      <c r="BW1587" t="str">
        <f>"14:51:25.213"</f>
        <v>14:51:25.213</v>
      </c>
      <c r="CJ1587">
        <v>3</v>
      </c>
      <c r="CK1587">
        <v>2</v>
      </c>
      <c r="CL1587">
        <v>0</v>
      </c>
      <c r="CM1587">
        <v>2</v>
      </c>
      <c r="CN1587">
        <v>0</v>
      </c>
      <c r="CO1587">
        <v>6</v>
      </c>
      <c r="CP1587" t="s">
        <v>119</v>
      </c>
      <c r="CQ1587">
        <v>232</v>
      </c>
      <c r="CR1587">
        <v>1</v>
      </c>
      <c r="CW1587">
        <v>15628072</v>
      </c>
      <c r="CY1587">
        <v>1</v>
      </c>
      <c r="CZ1587">
        <v>0</v>
      </c>
      <c r="DA1587">
        <v>1</v>
      </c>
      <c r="DB1587">
        <v>0</v>
      </c>
      <c r="DC1587">
        <v>0</v>
      </c>
      <c r="DD1587">
        <v>1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>"12/16/2021 14:51:25.438"</f>
        <v>12/16/2021 14:51:25.438</v>
      </c>
      <c r="C1588" t="str">
        <f t="shared" si="79"/>
        <v>FFDFD3C0</v>
      </c>
      <c r="D1588" t="s">
        <v>124</v>
      </c>
      <c r="E1588">
        <v>5</v>
      </c>
      <c r="F1588">
        <v>1005</v>
      </c>
      <c r="G1588" t="s">
        <v>114</v>
      </c>
      <c r="J1588" t="s">
        <v>125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"14:51:25.211"</f>
        <v>14:51:25.211</v>
      </c>
      <c r="T1588" t="str">
        <f>"14:51:24.811"</f>
        <v>14:51:24.811</v>
      </c>
      <c r="U1588" t="str">
        <f t="shared" si="78"/>
        <v>A0F928</v>
      </c>
      <c r="V1588">
        <v>0</v>
      </c>
      <c r="W1588">
        <v>0</v>
      </c>
      <c r="X1588">
        <v>2</v>
      </c>
      <c r="Z1588">
        <v>0</v>
      </c>
      <c r="AA1588">
        <v>9</v>
      </c>
      <c r="AB1588">
        <v>3</v>
      </c>
      <c r="AC1588">
        <v>0</v>
      </c>
      <c r="AD1588">
        <v>10</v>
      </c>
      <c r="AE1588">
        <v>0</v>
      </c>
      <c r="AF1588">
        <v>3</v>
      </c>
      <c r="AG1588">
        <v>2</v>
      </c>
      <c r="AH1588">
        <v>1</v>
      </c>
      <c r="AI1588" t="s">
        <v>863</v>
      </c>
      <c r="AJ1588">
        <v>35.814549999999997</v>
      </c>
      <c r="AK1588" t="s">
        <v>864</v>
      </c>
      <c r="AL1588">
        <v>-84.031848999999994</v>
      </c>
      <c r="AM1588">
        <v>25</v>
      </c>
      <c r="AN1588">
        <v>1575</v>
      </c>
      <c r="AO1588" t="s">
        <v>118</v>
      </c>
      <c r="AP1588">
        <v>106</v>
      </c>
      <c r="AQ1588">
        <v>98</v>
      </c>
      <c r="AR1588">
        <v>640</v>
      </c>
      <c r="AZ1588">
        <v>300</v>
      </c>
      <c r="BA1588">
        <v>1</v>
      </c>
      <c r="BB1588" t="str">
        <f t="shared" si="80"/>
        <v xml:space="preserve">N162AM  </v>
      </c>
      <c r="BC1588">
        <v>1</v>
      </c>
      <c r="BE1588">
        <v>0</v>
      </c>
      <c r="BF1588">
        <v>0</v>
      </c>
      <c r="BG1588">
        <v>0</v>
      </c>
      <c r="BH1588">
        <v>1825</v>
      </c>
      <c r="BI1588">
        <v>1</v>
      </c>
      <c r="BJ1588">
        <v>1</v>
      </c>
      <c r="BK1588">
        <v>1</v>
      </c>
      <c r="BL1588">
        <v>0</v>
      </c>
      <c r="BO1588">
        <v>0</v>
      </c>
      <c r="BP1588">
        <v>0</v>
      </c>
      <c r="BW1588" t="str">
        <f>"14:51:25.213"</f>
        <v>14:51:25.213</v>
      </c>
      <c r="CJ1588">
        <v>3</v>
      </c>
      <c r="CK1588">
        <v>2</v>
      </c>
      <c r="CL1588">
        <v>0</v>
      </c>
      <c r="CM1588">
        <v>2</v>
      </c>
      <c r="CN1588">
        <v>0</v>
      </c>
      <c r="CO1588">
        <v>6</v>
      </c>
      <c r="CP1588" t="s">
        <v>119</v>
      </c>
      <c r="CQ1588">
        <v>232</v>
      </c>
      <c r="CR1588">
        <v>1</v>
      </c>
      <c r="CW1588">
        <v>15628072</v>
      </c>
      <c r="CY1588">
        <v>1</v>
      </c>
      <c r="CZ1588">
        <v>0</v>
      </c>
      <c r="DA1588">
        <v>1</v>
      </c>
      <c r="DB1588">
        <v>0</v>
      </c>
      <c r="DC1588">
        <v>0</v>
      </c>
      <c r="DD1588">
        <v>1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>"12/16/2021 14:51:25.438"</f>
        <v>12/16/2021 14:51:25.438</v>
      </c>
      <c r="C1589" t="str">
        <f t="shared" si="79"/>
        <v>FFDFD3C0</v>
      </c>
      <c r="D1589" t="s">
        <v>133</v>
      </c>
      <c r="E1589">
        <v>44</v>
      </c>
      <c r="H1589">
        <v>131</v>
      </c>
      <c r="I1589" t="s">
        <v>134</v>
      </c>
      <c r="J1589" t="s">
        <v>135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"14:51:25.211"</f>
        <v>14:51:25.211</v>
      </c>
      <c r="T1589" t="str">
        <f>"14:51:24.811"</f>
        <v>14:51:24.811</v>
      </c>
      <c r="U1589" t="str">
        <f t="shared" si="78"/>
        <v>A0F928</v>
      </c>
      <c r="V1589">
        <v>0</v>
      </c>
      <c r="W1589">
        <v>0</v>
      </c>
      <c r="X1589">
        <v>2</v>
      </c>
      <c r="Z1589">
        <v>0</v>
      </c>
      <c r="AA1589">
        <v>9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2</v>
      </c>
      <c r="AH1589">
        <v>1</v>
      </c>
      <c r="AI1589" t="s">
        <v>863</v>
      </c>
      <c r="AJ1589">
        <v>35.814549999999997</v>
      </c>
      <c r="AK1589" t="s">
        <v>864</v>
      </c>
      <c r="AL1589">
        <v>-84.031848999999994</v>
      </c>
      <c r="AM1589">
        <v>25</v>
      </c>
      <c r="AN1589">
        <v>1575</v>
      </c>
      <c r="AO1589" t="s">
        <v>118</v>
      </c>
      <c r="AP1589">
        <v>106</v>
      </c>
      <c r="AQ1589">
        <v>98</v>
      </c>
      <c r="AR1589">
        <v>640</v>
      </c>
      <c r="AZ1589">
        <v>300</v>
      </c>
      <c r="BA1589">
        <v>1</v>
      </c>
      <c r="BB1589" t="str">
        <f t="shared" si="80"/>
        <v xml:space="preserve">N162AM  </v>
      </c>
      <c r="BC1589">
        <v>1</v>
      </c>
      <c r="BE1589">
        <v>0</v>
      </c>
      <c r="BF1589">
        <v>0</v>
      </c>
      <c r="BG1589">
        <v>0</v>
      </c>
      <c r="BH1589">
        <v>1825</v>
      </c>
      <c r="BI1589">
        <v>1</v>
      </c>
      <c r="BJ1589">
        <v>1</v>
      </c>
      <c r="BK1589">
        <v>1</v>
      </c>
      <c r="BL1589">
        <v>0</v>
      </c>
      <c r="BO1589">
        <v>0</v>
      </c>
      <c r="BP1589">
        <v>0</v>
      </c>
      <c r="BW1589" t="str">
        <f>"14:51:25.213"</f>
        <v>14:51:25.213</v>
      </c>
      <c r="CJ1589">
        <v>3</v>
      </c>
      <c r="CK1589">
        <v>2</v>
      </c>
      <c r="CL1589">
        <v>0</v>
      </c>
      <c r="CM1589">
        <v>2</v>
      </c>
      <c r="CN1589">
        <v>0</v>
      </c>
      <c r="CO1589">
        <v>6</v>
      </c>
      <c r="CP1589" t="s">
        <v>119</v>
      </c>
      <c r="CQ1589">
        <v>232</v>
      </c>
      <c r="CR1589">
        <v>1</v>
      </c>
      <c r="CW1589">
        <v>15628072</v>
      </c>
      <c r="CY1589">
        <v>1</v>
      </c>
      <c r="CZ1589">
        <v>0</v>
      </c>
      <c r="DA1589">
        <v>1</v>
      </c>
      <c r="DB1589">
        <v>0</v>
      </c>
      <c r="DC1589">
        <v>0</v>
      </c>
      <c r="DD1589">
        <v>1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>"12/16/2021 14:51:26.407"</f>
        <v>12/16/2021 14:51:26.407</v>
      </c>
      <c r="C1590" t="str">
        <f t="shared" si="79"/>
        <v>FFDFD3C0</v>
      </c>
      <c r="D1590" t="s">
        <v>133</v>
      </c>
      <c r="E1590">
        <v>44</v>
      </c>
      <c r="H1590">
        <v>131</v>
      </c>
      <c r="I1590" t="s">
        <v>134</v>
      </c>
      <c r="J1590" t="s">
        <v>135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"14:51:26.203"</f>
        <v>14:51:26.203</v>
      </c>
      <c r="T1590" t="str">
        <f>"14:51:25.303"</f>
        <v>14:51:25.303</v>
      </c>
      <c r="U1590" t="str">
        <f t="shared" si="78"/>
        <v>A0F928</v>
      </c>
      <c r="V1590">
        <v>0</v>
      </c>
      <c r="W1590">
        <v>0</v>
      </c>
      <c r="X1590">
        <v>2</v>
      </c>
      <c r="Z1590">
        <v>0</v>
      </c>
      <c r="AA1590">
        <v>9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2</v>
      </c>
      <c r="AH1590">
        <v>1</v>
      </c>
      <c r="AI1590" t="s">
        <v>865</v>
      </c>
      <c r="AJ1590">
        <v>35.814979000000001</v>
      </c>
      <c r="AK1590" t="s">
        <v>866</v>
      </c>
      <c r="AL1590">
        <v>-84.031270000000006</v>
      </c>
      <c r="AM1590">
        <v>25</v>
      </c>
      <c r="AN1590">
        <v>1575</v>
      </c>
      <c r="AO1590" t="s">
        <v>118</v>
      </c>
      <c r="AP1590">
        <v>106</v>
      </c>
      <c r="AQ1590">
        <v>98</v>
      </c>
      <c r="AR1590">
        <v>640</v>
      </c>
      <c r="AZ1590">
        <v>300</v>
      </c>
      <c r="BA1590">
        <v>1</v>
      </c>
      <c r="BB1590" t="str">
        <f t="shared" si="80"/>
        <v xml:space="preserve">N162AM  </v>
      </c>
      <c r="BC1590">
        <v>1</v>
      </c>
      <c r="BE1590">
        <v>0</v>
      </c>
      <c r="BF1590">
        <v>0</v>
      </c>
      <c r="BG1590">
        <v>0</v>
      </c>
      <c r="BH1590">
        <v>1850</v>
      </c>
      <c r="BI1590">
        <v>1</v>
      </c>
      <c r="BJ1590">
        <v>1</v>
      </c>
      <c r="BK1590">
        <v>1</v>
      </c>
      <c r="BL1590">
        <v>0</v>
      </c>
      <c r="BO1590">
        <v>0</v>
      </c>
      <c r="BP1590">
        <v>0</v>
      </c>
      <c r="BW1590" t="str">
        <f>"14:51:26.204"</f>
        <v>14:51:26.204</v>
      </c>
      <c r="CJ1590">
        <v>3</v>
      </c>
      <c r="CK1590">
        <v>2</v>
      </c>
      <c r="CL1590">
        <v>0</v>
      </c>
      <c r="CM1590">
        <v>2</v>
      </c>
      <c r="CN1590">
        <v>0</v>
      </c>
      <c r="CO1590">
        <v>7</v>
      </c>
      <c r="CP1590" t="s">
        <v>119</v>
      </c>
      <c r="CQ1590">
        <v>232</v>
      </c>
      <c r="CR1590">
        <v>2</v>
      </c>
      <c r="CW1590">
        <v>6834886</v>
      </c>
      <c r="CY1590">
        <v>1</v>
      </c>
      <c r="CZ1590">
        <v>0</v>
      </c>
      <c r="DA1590">
        <v>0</v>
      </c>
      <c r="DB1590">
        <v>0</v>
      </c>
      <c r="DC1590">
        <v>0</v>
      </c>
      <c r="DD1590">
        <v>1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>"12/16/2021 14:51:26.407"</f>
        <v>12/16/2021 14:51:26.407</v>
      </c>
      <c r="C1591" t="str">
        <f t="shared" si="79"/>
        <v>FFDFD3C0</v>
      </c>
      <c r="D1591" t="s">
        <v>124</v>
      </c>
      <c r="E1591">
        <v>10</v>
      </c>
      <c r="F1591">
        <v>1010</v>
      </c>
      <c r="G1591" t="s">
        <v>130</v>
      </c>
      <c r="J1591" t="s">
        <v>125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"14:51:26.203"</f>
        <v>14:51:26.203</v>
      </c>
      <c r="T1591" t="str">
        <f>"14:51:25.303"</f>
        <v>14:51:25.303</v>
      </c>
      <c r="U1591" t="str">
        <f t="shared" si="78"/>
        <v>A0F928</v>
      </c>
      <c r="V1591">
        <v>0</v>
      </c>
      <c r="W1591">
        <v>0</v>
      </c>
      <c r="X1591">
        <v>2</v>
      </c>
      <c r="Z1591">
        <v>0</v>
      </c>
      <c r="AA1591">
        <v>9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2</v>
      </c>
      <c r="AH1591">
        <v>1</v>
      </c>
      <c r="AI1591" t="s">
        <v>865</v>
      </c>
      <c r="AJ1591">
        <v>35.814979000000001</v>
      </c>
      <c r="AK1591" t="s">
        <v>866</v>
      </c>
      <c r="AL1591">
        <v>-84.031270000000006</v>
      </c>
      <c r="AM1591">
        <v>25</v>
      </c>
      <c r="AN1591">
        <v>1575</v>
      </c>
      <c r="AO1591" t="s">
        <v>118</v>
      </c>
      <c r="AP1591">
        <v>106</v>
      </c>
      <c r="AQ1591">
        <v>98</v>
      </c>
      <c r="AR1591">
        <v>640</v>
      </c>
      <c r="AZ1591">
        <v>300</v>
      </c>
      <c r="BA1591">
        <v>1</v>
      </c>
      <c r="BB1591" t="str">
        <f t="shared" si="80"/>
        <v xml:space="preserve">N162AM  </v>
      </c>
      <c r="BC1591">
        <v>1</v>
      </c>
      <c r="BE1591">
        <v>0</v>
      </c>
      <c r="BF1591">
        <v>0</v>
      </c>
      <c r="BG1591">
        <v>0</v>
      </c>
      <c r="BH1591">
        <v>1850</v>
      </c>
      <c r="BI1591">
        <v>1</v>
      </c>
      <c r="BJ1591">
        <v>1</v>
      </c>
      <c r="BK1591">
        <v>1</v>
      </c>
      <c r="BL1591">
        <v>0</v>
      </c>
      <c r="BO1591">
        <v>0</v>
      </c>
      <c r="BP1591">
        <v>0</v>
      </c>
      <c r="BW1591" t="str">
        <f>"14:51:26.204"</f>
        <v>14:51:26.204</v>
      </c>
      <c r="CJ1591">
        <v>3</v>
      </c>
      <c r="CK1591">
        <v>2</v>
      </c>
      <c r="CL1591">
        <v>0</v>
      </c>
      <c r="CM1591">
        <v>2</v>
      </c>
      <c r="CN1591">
        <v>0</v>
      </c>
      <c r="CO1591">
        <v>7</v>
      </c>
      <c r="CP1591" t="s">
        <v>119</v>
      </c>
      <c r="CQ1591">
        <v>232</v>
      </c>
      <c r="CR1591">
        <v>2</v>
      </c>
      <c r="CW1591">
        <v>6834886</v>
      </c>
      <c r="CY1591">
        <v>1</v>
      </c>
      <c r="CZ1591">
        <v>0</v>
      </c>
      <c r="DA1591">
        <v>1</v>
      </c>
      <c r="DB1591">
        <v>0</v>
      </c>
      <c r="DC1591">
        <v>0</v>
      </c>
      <c r="DD1591">
        <v>1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>"12/16/2021 14:51:26.454"</f>
        <v>12/16/2021 14:51:26.454</v>
      </c>
      <c r="C1592" t="str">
        <f t="shared" si="79"/>
        <v>FFDFD3C0</v>
      </c>
      <c r="D1592" t="s">
        <v>113</v>
      </c>
      <c r="E1592">
        <v>8</v>
      </c>
      <c r="H1592">
        <v>176</v>
      </c>
      <c r="I1592" t="s">
        <v>114</v>
      </c>
      <c r="J1592" t="s">
        <v>115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"14:51:26.203"</f>
        <v>14:51:26.203</v>
      </c>
      <c r="T1592" t="str">
        <f>"14:51:25.303"</f>
        <v>14:51:25.303</v>
      </c>
      <c r="U1592" t="str">
        <f t="shared" si="78"/>
        <v>A0F928</v>
      </c>
      <c r="V1592">
        <v>0</v>
      </c>
      <c r="W1592">
        <v>0</v>
      </c>
      <c r="X1592">
        <v>2</v>
      </c>
      <c r="Z1592">
        <v>0</v>
      </c>
      <c r="AA1592">
        <v>9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2</v>
      </c>
      <c r="AH1592">
        <v>1</v>
      </c>
      <c r="AI1592" t="s">
        <v>865</v>
      </c>
      <c r="AJ1592">
        <v>35.814979000000001</v>
      </c>
      <c r="AK1592" t="s">
        <v>866</v>
      </c>
      <c r="AL1592">
        <v>-84.031270000000006</v>
      </c>
      <c r="AM1592">
        <v>25</v>
      </c>
      <c r="AN1592">
        <v>1575</v>
      </c>
      <c r="AO1592" t="s">
        <v>118</v>
      </c>
      <c r="AP1592">
        <v>106</v>
      </c>
      <c r="AQ1592">
        <v>98</v>
      </c>
      <c r="AR1592">
        <v>640</v>
      </c>
      <c r="AZ1592">
        <v>300</v>
      </c>
      <c r="BA1592">
        <v>1</v>
      </c>
      <c r="BB1592" t="str">
        <f t="shared" si="80"/>
        <v xml:space="preserve">N162AM  </v>
      </c>
      <c r="BC1592">
        <v>1</v>
      </c>
      <c r="BE1592">
        <v>0</v>
      </c>
      <c r="BF1592">
        <v>0</v>
      </c>
      <c r="BG1592">
        <v>0</v>
      </c>
      <c r="BH1592">
        <v>1850</v>
      </c>
      <c r="BI1592">
        <v>1</v>
      </c>
      <c r="BJ1592">
        <v>1</v>
      </c>
      <c r="BK1592">
        <v>1</v>
      </c>
      <c r="BL1592">
        <v>0</v>
      </c>
      <c r="BO1592">
        <v>0</v>
      </c>
      <c r="BP1592">
        <v>0</v>
      </c>
      <c r="BW1592" t="str">
        <f>"14:51:26.204"</f>
        <v>14:51:26.204</v>
      </c>
      <c r="CJ1592">
        <v>3</v>
      </c>
      <c r="CK1592">
        <v>2</v>
      </c>
      <c r="CL1592">
        <v>0</v>
      </c>
      <c r="CM1592">
        <v>2</v>
      </c>
      <c r="CN1592">
        <v>0</v>
      </c>
      <c r="CO1592">
        <v>7</v>
      </c>
      <c r="CP1592" t="s">
        <v>119</v>
      </c>
      <c r="CQ1592">
        <v>232</v>
      </c>
      <c r="CR1592">
        <v>2</v>
      </c>
      <c r="CW1592">
        <v>6834886</v>
      </c>
      <c r="CY1592">
        <v>1</v>
      </c>
      <c r="CZ1592">
        <v>0</v>
      </c>
      <c r="DA1592">
        <v>1</v>
      </c>
      <c r="DB1592">
        <v>0</v>
      </c>
      <c r="DC1592">
        <v>0</v>
      </c>
      <c r="DD1592">
        <v>1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>"12/16/2021 14:51:26.469"</f>
        <v>12/16/2021 14:51:26.469</v>
      </c>
      <c r="C1593" t="str">
        <f t="shared" si="79"/>
        <v>FFDFD3C0</v>
      </c>
      <c r="D1593" t="s">
        <v>124</v>
      </c>
      <c r="E1593">
        <v>5</v>
      </c>
      <c r="F1593">
        <v>1005</v>
      </c>
      <c r="G1593" t="s">
        <v>114</v>
      </c>
      <c r="J1593" t="s">
        <v>125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>"14:51:26.203"</f>
        <v>14:51:26.203</v>
      </c>
      <c r="T1593" t="str">
        <f>"14:51:25.303"</f>
        <v>14:51:25.303</v>
      </c>
      <c r="U1593" t="str">
        <f t="shared" si="78"/>
        <v>A0F928</v>
      </c>
      <c r="V1593">
        <v>0</v>
      </c>
      <c r="W1593">
        <v>0</v>
      </c>
      <c r="X1593">
        <v>2</v>
      </c>
      <c r="Z1593">
        <v>0</v>
      </c>
      <c r="AA1593">
        <v>9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2</v>
      </c>
      <c r="AH1593">
        <v>1</v>
      </c>
      <c r="AI1593" t="s">
        <v>865</v>
      </c>
      <c r="AJ1593">
        <v>35.814979000000001</v>
      </c>
      <c r="AK1593" t="s">
        <v>866</v>
      </c>
      <c r="AL1593">
        <v>-84.031270000000006</v>
      </c>
      <c r="AM1593">
        <v>25</v>
      </c>
      <c r="AN1593">
        <v>1575</v>
      </c>
      <c r="AO1593" t="s">
        <v>118</v>
      </c>
      <c r="AP1593">
        <v>106</v>
      </c>
      <c r="AQ1593">
        <v>98</v>
      </c>
      <c r="AR1593">
        <v>640</v>
      </c>
      <c r="AZ1593">
        <v>300</v>
      </c>
      <c r="BA1593">
        <v>1</v>
      </c>
      <c r="BB1593" t="str">
        <f t="shared" si="80"/>
        <v xml:space="preserve">N162AM  </v>
      </c>
      <c r="BC1593">
        <v>1</v>
      </c>
      <c r="BE1593">
        <v>0</v>
      </c>
      <c r="BF1593">
        <v>0</v>
      </c>
      <c r="BG1593">
        <v>0</v>
      </c>
      <c r="BH1593">
        <v>1850</v>
      </c>
      <c r="BI1593">
        <v>1</v>
      </c>
      <c r="BJ1593">
        <v>1</v>
      </c>
      <c r="BK1593">
        <v>1</v>
      </c>
      <c r="BL1593">
        <v>0</v>
      </c>
      <c r="BO1593">
        <v>0</v>
      </c>
      <c r="BP1593">
        <v>0</v>
      </c>
      <c r="BW1593" t="str">
        <f>"14:51:26.204"</f>
        <v>14:51:26.204</v>
      </c>
      <c r="CJ1593">
        <v>3</v>
      </c>
      <c r="CK1593">
        <v>2</v>
      </c>
      <c r="CL1593">
        <v>0</v>
      </c>
      <c r="CM1593">
        <v>2</v>
      </c>
      <c r="CN1593">
        <v>0</v>
      </c>
      <c r="CO1593">
        <v>7</v>
      </c>
      <c r="CP1593" t="s">
        <v>119</v>
      </c>
      <c r="CQ1593">
        <v>232</v>
      </c>
      <c r="CR1593">
        <v>2</v>
      </c>
      <c r="CW1593">
        <v>6834886</v>
      </c>
      <c r="CY1593">
        <v>1</v>
      </c>
      <c r="CZ1593">
        <v>0</v>
      </c>
      <c r="DA1593">
        <v>1</v>
      </c>
      <c r="DB1593">
        <v>0</v>
      </c>
      <c r="DC1593">
        <v>0</v>
      </c>
      <c r="DD1593">
        <v>1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>"12/16/2021 14:51:27.313"</f>
        <v>12/16/2021 14:51:27.313</v>
      </c>
      <c r="C1594" t="str">
        <f t="shared" si="79"/>
        <v>FFDFD3C0</v>
      </c>
      <c r="D1594" t="s">
        <v>124</v>
      </c>
      <c r="E1594">
        <v>5</v>
      </c>
      <c r="F1594">
        <v>1005</v>
      </c>
      <c r="G1594" t="s">
        <v>114</v>
      </c>
      <c r="J1594" t="s">
        <v>125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>"14:51:27.109"</f>
        <v>14:51:27.109</v>
      </c>
      <c r="T1594" t="str">
        <f>"14:51:26.709"</f>
        <v>14:51:26.709</v>
      </c>
      <c r="U1594" t="str">
        <f t="shared" si="78"/>
        <v>A0F928</v>
      </c>
      <c r="V1594">
        <v>0</v>
      </c>
      <c r="W1594">
        <v>0</v>
      </c>
      <c r="X1594">
        <v>2</v>
      </c>
      <c r="Z1594">
        <v>0</v>
      </c>
      <c r="AA1594">
        <v>9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2</v>
      </c>
      <c r="AH1594">
        <v>1</v>
      </c>
      <c r="AI1594" t="s">
        <v>867</v>
      </c>
      <c r="AJ1594">
        <v>35.815429999999999</v>
      </c>
      <c r="AK1594" t="s">
        <v>868</v>
      </c>
      <c r="AL1594">
        <v>-84.030732999999998</v>
      </c>
      <c r="AM1594">
        <v>25</v>
      </c>
      <c r="AN1594">
        <v>1600</v>
      </c>
      <c r="AO1594" t="s">
        <v>118</v>
      </c>
      <c r="AP1594">
        <v>106</v>
      </c>
      <c r="AQ1594">
        <v>98</v>
      </c>
      <c r="AR1594">
        <v>576</v>
      </c>
      <c r="AZ1594">
        <v>300</v>
      </c>
      <c r="BA1594">
        <v>1</v>
      </c>
      <c r="BB1594" t="str">
        <f t="shared" si="80"/>
        <v xml:space="preserve">N162AM  </v>
      </c>
      <c r="BC1594">
        <v>1</v>
      </c>
      <c r="BE1594">
        <v>0</v>
      </c>
      <c r="BF1594">
        <v>0</v>
      </c>
      <c r="BG1594">
        <v>0</v>
      </c>
      <c r="BH1594">
        <v>1850</v>
      </c>
      <c r="BI1594">
        <v>1</v>
      </c>
      <c r="BJ1594">
        <v>1</v>
      </c>
      <c r="BK1594">
        <v>1</v>
      </c>
      <c r="BL1594">
        <v>0</v>
      </c>
      <c r="BO1594">
        <v>0</v>
      </c>
      <c r="BP1594">
        <v>0</v>
      </c>
      <c r="BW1594" t="str">
        <f>"14:51:27.115"</f>
        <v>14:51:27.115</v>
      </c>
      <c r="CJ1594">
        <v>3</v>
      </c>
      <c r="CK1594">
        <v>2</v>
      </c>
      <c r="CL1594">
        <v>0</v>
      </c>
      <c r="CM1594">
        <v>2</v>
      </c>
      <c r="CN1594">
        <v>0</v>
      </c>
      <c r="CO1594">
        <v>6</v>
      </c>
      <c r="CP1594" t="s">
        <v>119</v>
      </c>
      <c r="CQ1594">
        <v>232</v>
      </c>
      <c r="CR1594">
        <v>2</v>
      </c>
      <c r="CW1594">
        <v>6836249</v>
      </c>
      <c r="CY1594">
        <v>1</v>
      </c>
      <c r="CZ1594">
        <v>0</v>
      </c>
      <c r="DA1594">
        <v>0</v>
      </c>
      <c r="DB1594">
        <v>0</v>
      </c>
      <c r="DC1594">
        <v>0</v>
      </c>
      <c r="DD1594">
        <v>1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>"12/16/2021 14:51:27.313"</f>
        <v>12/16/2021 14:51:27.313</v>
      </c>
      <c r="C1595" t="str">
        <f t="shared" si="79"/>
        <v>FFDFD3C0</v>
      </c>
      <c r="D1595" t="s">
        <v>124</v>
      </c>
      <c r="E1595">
        <v>10</v>
      </c>
      <c r="F1595">
        <v>1010</v>
      </c>
      <c r="G1595" t="s">
        <v>130</v>
      </c>
      <c r="J1595" t="s">
        <v>125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"14:51:27.109"</f>
        <v>14:51:27.109</v>
      </c>
      <c r="T1595" t="str">
        <f>"14:51:26.709"</f>
        <v>14:51:26.709</v>
      </c>
      <c r="U1595" t="str">
        <f t="shared" si="78"/>
        <v>A0F928</v>
      </c>
      <c r="V1595">
        <v>0</v>
      </c>
      <c r="W1595">
        <v>0</v>
      </c>
      <c r="X1595">
        <v>2</v>
      </c>
      <c r="Z1595">
        <v>0</v>
      </c>
      <c r="AA1595">
        <v>9</v>
      </c>
      <c r="AB1595">
        <v>3</v>
      </c>
      <c r="AC1595">
        <v>0</v>
      </c>
      <c r="AD1595">
        <v>10</v>
      </c>
      <c r="AE1595">
        <v>0</v>
      </c>
      <c r="AF1595">
        <v>3</v>
      </c>
      <c r="AG1595">
        <v>2</v>
      </c>
      <c r="AH1595">
        <v>1</v>
      </c>
      <c r="AI1595" t="s">
        <v>867</v>
      </c>
      <c r="AJ1595">
        <v>35.815429999999999</v>
      </c>
      <c r="AK1595" t="s">
        <v>868</v>
      </c>
      <c r="AL1595">
        <v>-84.030732999999998</v>
      </c>
      <c r="AM1595">
        <v>25</v>
      </c>
      <c r="AN1595">
        <v>1600</v>
      </c>
      <c r="AO1595" t="s">
        <v>118</v>
      </c>
      <c r="AP1595">
        <v>106</v>
      </c>
      <c r="AQ1595">
        <v>98</v>
      </c>
      <c r="AR1595">
        <v>576</v>
      </c>
      <c r="AZ1595">
        <v>300</v>
      </c>
      <c r="BA1595">
        <v>1</v>
      </c>
      <c r="BB1595" t="str">
        <f t="shared" si="80"/>
        <v xml:space="preserve">N162AM  </v>
      </c>
      <c r="BC1595">
        <v>1</v>
      </c>
      <c r="BE1595">
        <v>0</v>
      </c>
      <c r="BF1595">
        <v>0</v>
      </c>
      <c r="BG1595">
        <v>0</v>
      </c>
      <c r="BH1595">
        <v>1850</v>
      </c>
      <c r="BI1595">
        <v>1</v>
      </c>
      <c r="BJ1595">
        <v>1</v>
      </c>
      <c r="BK1595">
        <v>1</v>
      </c>
      <c r="BL1595">
        <v>0</v>
      </c>
      <c r="BO1595">
        <v>0</v>
      </c>
      <c r="BP1595">
        <v>0</v>
      </c>
      <c r="BW1595" t="str">
        <f>"14:51:27.115"</f>
        <v>14:51:27.115</v>
      </c>
      <c r="CJ1595">
        <v>3</v>
      </c>
      <c r="CK1595">
        <v>2</v>
      </c>
      <c r="CL1595">
        <v>0</v>
      </c>
      <c r="CM1595">
        <v>2</v>
      </c>
      <c r="CN1595">
        <v>0</v>
      </c>
      <c r="CO1595">
        <v>6</v>
      </c>
      <c r="CP1595" t="s">
        <v>119</v>
      </c>
      <c r="CQ1595">
        <v>232</v>
      </c>
      <c r="CR1595">
        <v>2</v>
      </c>
      <c r="CW1595">
        <v>6836249</v>
      </c>
      <c r="CY1595">
        <v>1</v>
      </c>
      <c r="CZ1595">
        <v>0</v>
      </c>
      <c r="DA1595">
        <v>1</v>
      </c>
      <c r="DB1595">
        <v>0</v>
      </c>
      <c r="DC1595">
        <v>0</v>
      </c>
      <c r="DD1595">
        <v>1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>"12/16/2021 14:51:27.313"</f>
        <v>12/16/2021 14:51:27.313</v>
      </c>
      <c r="C1596" t="str">
        <f t="shared" si="79"/>
        <v>FFDFD3C0</v>
      </c>
      <c r="D1596" t="s">
        <v>133</v>
      </c>
      <c r="E1596">
        <v>44</v>
      </c>
      <c r="H1596">
        <v>131</v>
      </c>
      <c r="I1596" t="s">
        <v>134</v>
      </c>
      <c r="J1596" t="s">
        <v>135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>"14:51:27.109"</f>
        <v>14:51:27.109</v>
      </c>
      <c r="T1596" t="str">
        <f>"14:51:26.709"</f>
        <v>14:51:26.709</v>
      </c>
      <c r="U1596" t="str">
        <f t="shared" si="78"/>
        <v>A0F928</v>
      </c>
      <c r="V1596">
        <v>0</v>
      </c>
      <c r="W1596">
        <v>0</v>
      </c>
      <c r="X1596">
        <v>2</v>
      </c>
      <c r="Z1596">
        <v>0</v>
      </c>
      <c r="AA1596">
        <v>9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2</v>
      </c>
      <c r="AH1596">
        <v>1</v>
      </c>
      <c r="AI1596" t="s">
        <v>867</v>
      </c>
      <c r="AJ1596">
        <v>35.815429999999999</v>
      </c>
      <c r="AK1596" t="s">
        <v>868</v>
      </c>
      <c r="AL1596">
        <v>-84.030732999999998</v>
      </c>
      <c r="AM1596">
        <v>25</v>
      </c>
      <c r="AN1596">
        <v>1600</v>
      </c>
      <c r="AO1596" t="s">
        <v>118</v>
      </c>
      <c r="AP1596">
        <v>106</v>
      </c>
      <c r="AQ1596">
        <v>98</v>
      </c>
      <c r="AR1596">
        <v>576</v>
      </c>
      <c r="AZ1596">
        <v>300</v>
      </c>
      <c r="BA1596">
        <v>1</v>
      </c>
      <c r="BB1596" t="str">
        <f t="shared" si="80"/>
        <v xml:space="preserve">N162AM  </v>
      </c>
      <c r="BC1596">
        <v>1</v>
      </c>
      <c r="BE1596">
        <v>0</v>
      </c>
      <c r="BF1596">
        <v>0</v>
      </c>
      <c r="BG1596">
        <v>0</v>
      </c>
      <c r="BH1596">
        <v>1850</v>
      </c>
      <c r="BI1596">
        <v>1</v>
      </c>
      <c r="BJ1596">
        <v>1</v>
      </c>
      <c r="BK1596">
        <v>1</v>
      </c>
      <c r="BL1596">
        <v>0</v>
      </c>
      <c r="BO1596">
        <v>0</v>
      </c>
      <c r="BP1596">
        <v>0</v>
      </c>
      <c r="BW1596" t="str">
        <f>"14:51:27.115"</f>
        <v>14:51:27.115</v>
      </c>
      <c r="CJ1596">
        <v>3</v>
      </c>
      <c r="CK1596">
        <v>2</v>
      </c>
      <c r="CL1596">
        <v>0</v>
      </c>
      <c r="CM1596">
        <v>2</v>
      </c>
      <c r="CN1596">
        <v>0</v>
      </c>
      <c r="CO1596">
        <v>6</v>
      </c>
      <c r="CP1596" t="s">
        <v>119</v>
      </c>
      <c r="CQ1596">
        <v>232</v>
      </c>
      <c r="CR1596">
        <v>2</v>
      </c>
      <c r="CW1596">
        <v>6836249</v>
      </c>
      <c r="CY1596">
        <v>1</v>
      </c>
      <c r="CZ1596">
        <v>0</v>
      </c>
      <c r="DA1596">
        <v>1</v>
      </c>
      <c r="DB1596">
        <v>0</v>
      </c>
      <c r="DC1596">
        <v>0</v>
      </c>
      <c r="DD1596">
        <v>1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>"12/16/2021 14:51:27.344"</f>
        <v>12/16/2021 14:51:27.344</v>
      </c>
      <c r="C1597" t="str">
        <f t="shared" si="79"/>
        <v>FFDFD3C0</v>
      </c>
      <c r="D1597" t="s">
        <v>113</v>
      </c>
      <c r="E1597">
        <v>8</v>
      </c>
      <c r="H1597">
        <v>176</v>
      </c>
      <c r="I1597" t="s">
        <v>114</v>
      </c>
      <c r="J1597" t="s">
        <v>115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>"14:51:27.109"</f>
        <v>14:51:27.109</v>
      </c>
      <c r="T1597" t="str">
        <f>"14:51:26.709"</f>
        <v>14:51:26.709</v>
      </c>
      <c r="U1597" t="str">
        <f t="shared" si="78"/>
        <v>A0F928</v>
      </c>
      <c r="V1597">
        <v>0</v>
      </c>
      <c r="W1597">
        <v>0</v>
      </c>
      <c r="X1597">
        <v>2</v>
      </c>
      <c r="Z1597">
        <v>0</v>
      </c>
      <c r="AA1597">
        <v>9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2</v>
      </c>
      <c r="AH1597">
        <v>1</v>
      </c>
      <c r="AI1597" t="s">
        <v>867</v>
      </c>
      <c r="AJ1597">
        <v>35.815429999999999</v>
      </c>
      <c r="AK1597" t="s">
        <v>868</v>
      </c>
      <c r="AL1597">
        <v>-84.030732999999998</v>
      </c>
      <c r="AM1597">
        <v>25</v>
      </c>
      <c r="AN1597">
        <v>1600</v>
      </c>
      <c r="AO1597" t="s">
        <v>118</v>
      </c>
      <c r="AP1597">
        <v>106</v>
      </c>
      <c r="AQ1597">
        <v>98</v>
      </c>
      <c r="AR1597">
        <v>576</v>
      </c>
      <c r="AZ1597">
        <v>300</v>
      </c>
      <c r="BA1597">
        <v>1</v>
      </c>
      <c r="BB1597" t="str">
        <f t="shared" si="80"/>
        <v xml:space="preserve">N162AM  </v>
      </c>
      <c r="BC1597">
        <v>1</v>
      </c>
      <c r="BE1597">
        <v>0</v>
      </c>
      <c r="BF1597">
        <v>0</v>
      </c>
      <c r="BG1597">
        <v>0</v>
      </c>
      <c r="BH1597">
        <v>1850</v>
      </c>
      <c r="BI1597">
        <v>1</v>
      </c>
      <c r="BJ1597">
        <v>1</v>
      </c>
      <c r="BK1597">
        <v>1</v>
      </c>
      <c r="BL1597">
        <v>0</v>
      </c>
      <c r="BO1597">
        <v>0</v>
      </c>
      <c r="BP1597">
        <v>0</v>
      </c>
      <c r="BW1597" t="str">
        <f>"14:51:27.115"</f>
        <v>14:51:27.115</v>
      </c>
      <c r="CJ1597">
        <v>3</v>
      </c>
      <c r="CK1597">
        <v>2</v>
      </c>
      <c r="CL1597">
        <v>0</v>
      </c>
      <c r="CM1597">
        <v>2</v>
      </c>
      <c r="CN1597">
        <v>0</v>
      </c>
      <c r="CO1597">
        <v>6</v>
      </c>
      <c r="CP1597" t="s">
        <v>119</v>
      </c>
      <c r="CQ1597">
        <v>232</v>
      </c>
      <c r="CR1597">
        <v>2</v>
      </c>
      <c r="CW1597">
        <v>6836249</v>
      </c>
      <c r="CY1597">
        <v>1</v>
      </c>
      <c r="CZ1597">
        <v>0</v>
      </c>
      <c r="DA1597">
        <v>1</v>
      </c>
      <c r="DB1597">
        <v>0</v>
      </c>
      <c r="DC1597">
        <v>0</v>
      </c>
      <c r="DD1597">
        <v>1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>"12/16/2021 14:51:28.454"</f>
        <v>12/16/2021 14:51:28.454</v>
      </c>
      <c r="C1598" t="str">
        <f t="shared" si="79"/>
        <v>FFDFD3C0</v>
      </c>
      <c r="D1598" t="s">
        <v>124</v>
      </c>
      <c r="E1598">
        <v>10</v>
      </c>
      <c r="F1598">
        <v>1010</v>
      </c>
      <c r="G1598" t="s">
        <v>130</v>
      </c>
      <c r="J1598" t="s">
        <v>125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"14:51:28.234"</f>
        <v>14:51:28.234</v>
      </c>
      <c r="T1598" t="str">
        <f>"14:51:27.734"</f>
        <v>14:51:27.734</v>
      </c>
      <c r="U1598" t="str">
        <f t="shared" si="78"/>
        <v>A0F928</v>
      </c>
      <c r="V1598">
        <v>0</v>
      </c>
      <c r="W1598">
        <v>0</v>
      </c>
      <c r="X1598">
        <v>2</v>
      </c>
      <c r="Z1598">
        <v>0</v>
      </c>
      <c r="AA1598">
        <v>9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2</v>
      </c>
      <c r="AH1598">
        <v>1</v>
      </c>
      <c r="AI1598" t="s">
        <v>869</v>
      </c>
      <c r="AJ1598">
        <v>35.81588</v>
      </c>
      <c r="AK1598" t="s">
        <v>870</v>
      </c>
      <c r="AL1598">
        <v>-84.030068</v>
      </c>
      <c r="AM1598">
        <v>25</v>
      </c>
      <c r="AN1598">
        <v>1600</v>
      </c>
      <c r="AO1598" t="s">
        <v>118</v>
      </c>
      <c r="AP1598">
        <v>105</v>
      </c>
      <c r="AQ1598">
        <v>98</v>
      </c>
      <c r="AR1598">
        <v>576</v>
      </c>
      <c r="AZ1598">
        <v>300</v>
      </c>
      <c r="BA1598">
        <v>1</v>
      </c>
      <c r="BB1598" t="str">
        <f t="shared" si="80"/>
        <v xml:space="preserve">N162AM  </v>
      </c>
      <c r="BC1598">
        <v>1</v>
      </c>
      <c r="BE1598">
        <v>0</v>
      </c>
      <c r="BF1598">
        <v>0</v>
      </c>
      <c r="BG1598">
        <v>0</v>
      </c>
      <c r="BH1598">
        <v>1850</v>
      </c>
      <c r="BI1598">
        <v>1</v>
      </c>
      <c r="BJ1598">
        <v>1</v>
      </c>
      <c r="BK1598">
        <v>1</v>
      </c>
      <c r="BL1598">
        <v>0</v>
      </c>
      <c r="BO1598">
        <v>0</v>
      </c>
      <c r="BP1598">
        <v>0</v>
      </c>
      <c r="BW1598" t="str">
        <f>"14:51:28.235"</f>
        <v>14:51:28.235</v>
      </c>
      <c r="CJ1598">
        <v>3</v>
      </c>
      <c r="CK1598">
        <v>2</v>
      </c>
      <c r="CL1598">
        <v>0</v>
      </c>
      <c r="CM1598">
        <v>2</v>
      </c>
      <c r="CN1598">
        <v>0</v>
      </c>
      <c r="CO1598">
        <v>7</v>
      </c>
      <c r="CP1598" t="s">
        <v>119</v>
      </c>
      <c r="CQ1598">
        <v>232</v>
      </c>
      <c r="CR1598">
        <v>2</v>
      </c>
      <c r="CW1598">
        <v>6837947</v>
      </c>
      <c r="CY1598">
        <v>1</v>
      </c>
      <c r="CZ1598">
        <v>0</v>
      </c>
      <c r="DA1598">
        <v>0</v>
      </c>
      <c r="DB1598">
        <v>0</v>
      </c>
      <c r="DC1598">
        <v>0</v>
      </c>
      <c r="DD1598">
        <v>1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>"12/16/2021 14:51:28.470"</f>
        <v>12/16/2021 14:51:28.470</v>
      </c>
      <c r="C1599" t="str">
        <f t="shared" si="79"/>
        <v>FFDFD3C0</v>
      </c>
      <c r="D1599" t="s">
        <v>133</v>
      </c>
      <c r="E1599">
        <v>44</v>
      </c>
      <c r="H1599">
        <v>131</v>
      </c>
      <c r="I1599" t="s">
        <v>134</v>
      </c>
      <c r="J1599" t="s">
        <v>135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>"14:51:28.234"</f>
        <v>14:51:28.234</v>
      </c>
      <c r="T1599" t="str">
        <f>"14:51:27.734"</f>
        <v>14:51:27.734</v>
      </c>
      <c r="U1599" t="str">
        <f t="shared" si="78"/>
        <v>A0F928</v>
      </c>
      <c r="V1599">
        <v>0</v>
      </c>
      <c r="W1599">
        <v>0</v>
      </c>
      <c r="X1599">
        <v>2</v>
      </c>
      <c r="Z1599">
        <v>0</v>
      </c>
      <c r="AA1599">
        <v>9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2</v>
      </c>
      <c r="AH1599">
        <v>1</v>
      </c>
      <c r="AI1599" t="s">
        <v>869</v>
      </c>
      <c r="AJ1599">
        <v>35.81588</v>
      </c>
      <c r="AK1599" t="s">
        <v>870</v>
      </c>
      <c r="AL1599">
        <v>-84.030068</v>
      </c>
      <c r="AM1599">
        <v>25</v>
      </c>
      <c r="AN1599">
        <v>1600</v>
      </c>
      <c r="AO1599" t="s">
        <v>118</v>
      </c>
      <c r="AP1599">
        <v>105</v>
      </c>
      <c r="AQ1599">
        <v>98</v>
      </c>
      <c r="AR1599">
        <v>576</v>
      </c>
      <c r="AZ1599">
        <v>300</v>
      </c>
      <c r="BA1599">
        <v>1</v>
      </c>
      <c r="BB1599" t="str">
        <f t="shared" si="80"/>
        <v xml:space="preserve">N162AM  </v>
      </c>
      <c r="BC1599">
        <v>1</v>
      </c>
      <c r="BE1599">
        <v>0</v>
      </c>
      <c r="BF1599">
        <v>0</v>
      </c>
      <c r="BG1599">
        <v>0</v>
      </c>
      <c r="BH1599">
        <v>1850</v>
      </c>
      <c r="BI1599">
        <v>1</v>
      </c>
      <c r="BJ1599">
        <v>1</v>
      </c>
      <c r="BK1599">
        <v>1</v>
      </c>
      <c r="BL1599">
        <v>0</v>
      </c>
      <c r="BO1599">
        <v>0</v>
      </c>
      <c r="BP1599">
        <v>0</v>
      </c>
      <c r="BW1599" t="str">
        <f>"14:51:28.235"</f>
        <v>14:51:28.235</v>
      </c>
      <c r="CJ1599">
        <v>3</v>
      </c>
      <c r="CK1599">
        <v>2</v>
      </c>
      <c r="CL1599">
        <v>0</v>
      </c>
      <c r="CM1599">
        <v>2</v>
      </c>
      <c r="CN1599">
        <v>0</v>
      </c>
      <c r="CO1599">
        <v>7</v>
      </c>
      <c r="CP1599" t="s">
        <v>119</v>
      </c>
      <c r="CQ1599">
        <v>232</v>
      </c>
      <c r="CR1599">
        <v>2</v>
      </c>
      <c r="CW1599">
        <v>6837947</v>
      </c>
      <c r="CY1599">
        <v>1</v>
      </c>
      <c r="CZ1599">
        <v>0</v>
      </c>
      <c r="DA1599">
        <v>1</v>
      </c>
      <c r="DB1599">
        <v>0</v>
      </c>
      <c r="DC1599">
        <v>0</v>
      </c>
      <c r="DD1599">
        <v>1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>"12/16/2021 14:51:28.454"</f>
        <v>12/16/2021 14:51:28.454</v>
      </c>
      <c r="C1600" t="str">
        <f t="shared" si="79"/>
        <v>FFDFD3C0</v>
      </c>
      <c r="D1600" t="s">
        <v>124</v>
      </c>
      <c r="E1600">
        <v>5</v>
      </c>
      <c r="F1600">
        <v>1005</v>
      </c>
      <c r="G1600" t="s">
        <v>114</v>
      </c>
      <c r="J1600" t="s">
        <v>125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>"14:51:28.234"</f>
        <v>14:51:28.234</v>
      </c>
      <c r="T1600" t="str">
        <f>"14:51:27.734"</f>
        <v>14:51:27.734</v>
      </c>
      <c r="U1600" t="str">
        <f t="shared" si="78"/>
        <v>A0F928</v>
      </c>
      <c r="V1600">
        <v>0</v>
      </c>
      <c r="W1600">
        <v>0</v>
      </c>
      <c r="X1600">
        <v>2</v>
      </c>
      <c r="Z1600">
        <v>0</v>
      </c>
      <c r="AA1600">
        <v>9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2</v>
      </c>
      <c r="AH1600">
        <v>1</v>
      </c>
      <c r="AI1600" t="s">
        <v>869</v>
      </c>
      <c r="AJ1600">
        <v>35.81588</v>
      </c>
      <c r="AK1600" t="s">
        <v>870</v>
      </c>
      <c r="AL1600">
        <v>-84.030068</v>
      </c>
      <c r="AM1600">
        <v>25</v>
      </c>
      <c r="AN1600">
        <v>1600</v>
      </c>
      <c r="AO1600" t="s">
        <v>118</v>
      </c>
      <c r="AP1600">
        <v>105</v>
      </c>
      <c r="AQ1600">
        <v>98</v>
      </c>
      <c r="AR1600">
        <v>576</v>
      </c>
      <c r="AZ1600">
        <v>300</v>
      </c>
      <c r="BA1600">
        <v>1</v>
      </c>
      <c r="BB1600" t="str">
        <f t="shared" si="80"/>
        <v xml:space="preserve">N162AM  </v>
      </c>
      <c r="BC1600">
        <v>1</v>
      </c>
      <c r="BE1600">
        <v>0</v>
      </c>
      <c r="BF1600">
        <v>0</v>
      </c>
      <c r="BG1600">
        <v>0</v>
      </c>
      <c r="BH1600">
        <v>1850</v>
      </c>
      <c r="BI1600">
        <v>1</v>
      </c>
      <c r="BJ1600">
        <v>1</v>
      </c>
      <c r="BK1600">
        <v>1</v>
      </c>
      <c r="BL1600">
        <v>0</v>
      </c>
      <c r="BO1600">
        <v>0</v>
      </c>
      <c r="BP1600">
        <v>0</v>
      </c>
      <c r="BW1600" t="str">
        <f>"14:51:28.235"</f>
        <v>14:51:28.235</v>
      </c>
      <c r="CJ1600">
        <v>3</v>
      </c>
      <c r="CK1600">
        <v>2</v>
      </c>
      <c r="CL1600">
        <v>0</v>
      </c>
      <c r="CM1600">
        <v>2</v>
      </c>
      <c r="CN1600">
        <v>0</v>
      </c>
      <c r="CO1600">
        <v>7</v>
      </c>
      <c r="CP1600" t="s">
        <v>119</v>
      </c>
      <c r="CQ1600">
        <v>232</v>
      </c>
      <c r="CR1600">
        <v>2</v>
      </c>
      <c r="CW1600">
        <v>6837947</v>
      </c>
      <c r="CY1600">
        <v>1</v>
      </c>
      <c r="CZ1600">
        <v>0</v>
      </c>
      <c r="DA1600">
        <v>1</v>
      </c>
      <c r="DB1600">
        <v>0</v>
      </c>
      <c r="DC1600">
        <v>0</v>
      </c>
      <c r="DD1600">
        <v>1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>"12/16/2021 14:51:28.501"</f>
        <v>12/16/2021 14:51:28.501</v>
      </c>
      <c r="C1601" t="str">
        <f t="shared" si="79"/>
        <v>FFDFD3C0</v>
      </c>
      <c r="D1601" t="s">
        <v>113</v>
      </c>
      <c r="E1601">
        <v>8</v>
      </c>
      <c r="H1601">
        <v>176</v>
      </c>
      <c r="I1601" t="s">
        <v>114</v>
      </c>
      <c r="J1601" t="s">
        <v>115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>"14:51:28.234"</f>
        <v>14:51:28.234</v>
      </c>
      <c r="T1601" t="str">
        <f>"14:51:27.734"</f>
        <v>14:51:27.734</v>
      </c>
      <c r="U1601" t="str">
        <f t="shared" si="78"/>
        <v>A0F928</v>
      </c>
      <c r="V1601">
        <v>0</v>
      </c>
      <c r="W1601">
        <v>0</v>
      </c>
      <c r="X1601">
        <v>2</v>
      </c>
      <c r="Z1601">
        <v>0</v>
      </c>
      <c r="AA1601">
        <v>9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2</v>
      </c>
      <c r="AH1601">
        <v>1</v>
      </c>
      <c r="AI1601" t="s">
        <v>869</v>
      </c>
      <c r="AJ1601">
        <v>35.81588</v>
      </c>
      <c r="AK1601" t="s">
        <v>870</v>
      </c>
      <c r="AL1601">
        <v>-84.030068</v>
      </c>
      <c r="AM1601">
        <v>25</v>
      </c>
      <c r="AN1601">
        <v>1600</v>
      </c>
      <c r="AO1601" t="s">
        <v>118</v>
      </c>
      <c r="AP1601">
        <v>105</v>
      </c>
      <c r="AQ1601">
        <v>98</v>
      </c>
      <c r="AR1601">
        <v>576</v>
      </c>
      <c r="AZ1601">
        <v>300</v>
      </c>
      <c r="BA1601">
        <v>1</v>
      </c>
      <c r="BB1601" t="str">
        <f t="shared" si="80"/>
        <v xml:space="preserve">N162AM  </v>
      </c>
      <c r="BC1601">
        <v>1</v>
      </c>
      <c r="BE1601">
        <v>0</v>
      </c>
      <c r="BF1601">
        <v>0</v>
      </c>
      <c r="BG1601">
        <v>0</v>
      </c>
      <c r="BH1601">
        <v>1850</v>
      </c>
      <c r="BI1601">
        <v>1</v>
      </c>
      <c r="BJ1601">
        <v>1</v>
      </c>
      <c r="BK1601">
        <v>1</v>
      </c>
      <c r="BL1601">
        <v>0</v>
      </c>
      <c r="BO1601">
        <v>0</v>
      </c>
      <c r="BP1601">
        <v>0</v>
      </c>
      <c r="BW1601" t="str">
        <f>"14:51:28.235"</f>
        <v>14:51:28.235</v>
      </c>
      <c r="CJ1601">
        <v>3</v>
      </c>
      <c r="CK1601">
        <v>2</v>
      </c>
      <c r="CL1601">
        <v>0</v>
      </c>
      <c r="CM1601">
        <v>2</v>
      </c>
      <c r="CN1601">
        <v>0</v>
      </c>
      <c r="CO1601">
        <v>7</v>
      </c>
      <c r="CP1601" t="s">
        <v>119</v>
      </c>
      <c r="CQ1601">
        <v>232</v>
      </c>
      <c r="CR1601">
        <v>2</v>
      </c>
      <c r="CW1601">
        <v>6837947</v>
      </c>
      <c r="CY1601">
        <v>1</v>
      </c>
      <c r="CZ1601">
        <v>0</v>
      </c>
      <c r="DA1601">
        <v>1</v>
      </c>
      <c r="DB1601">
        <v>0</v>
      </c>
      <c r="DC1601">
        <v>0</v>
      </c>
      <c r="DD1601">
        <v>1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>"12/16/2021 14:51:29.360"</f>
        <v>12/16/2021 14:51:29.360</v>
      </c>
      <c r="C1602" t="str">
        <f t="shared" si="79"/>
        <v>FFDFD3C0</v>
      </c>
      <c r="D1602" t="s">
        <v>124</v>
      </c>
      <c r="E1602">
        <v>5</v>
      </c>
      <c r="F1602">
        <v>1005</v>
      </c>
      <c r="G1602" t="s">
        <v>114</v>
      </c>
      <c r="J1602" t="s">
        <v>125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>"14:51:29.172"</f>
        <v>14:51:29.172</v>
      </c>
      <c r="T1602" t="str">
        <f>"14:51:28.772"</f>
        <v>14:51:28.772</v>
      </c>
      <c r="U1602" t="str">
        <f t="shared" ref="U1602:U1665" si="81">"A0F928"</f>
        <v>A0F928</v>
      </c>
      <c r="V1602">
        <v>0</v>
      </c>
      <c r="W1602">
        <v>0</v>
      </c>
      <c r="X1602">
        <v>2</v>
      </c>
      <c r="Z1602">
        <v>0</v>
      </c>
      <c r="AA1602">
        <v>9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2</v>
      </c>
      <c r="AH1602">
        <v>1</v>
      </c>
      <c r="AI1602" t="s">
        <v>871</v>
      </c>
      <c r="AJ1602">
        <v>35.816352000000002</v>
      </c>
      <c r="AK1602" t="s">
        <v>872</v>
      </c>
      <c r="AL1602">
        <v>-84.029510000000002</v>
      </c>
      <c r="AM1602">
        <v>25</v>
      </c>
      <c r="AN1602">
        <v>1625</v>
      </c>
      <c r="AO1602" t="s">
        <v>118</v>
      </c>
      <c r="AP1602">
        <v>105</v>
      </c>
      <c r="AQ1602">
        <v>98</v>
      </c>
      <c r="AR1602">
        <v>576</v>
      </c>
      <c r="AZ1602">
        <v>300</v>
      </c>
      <c r="BA1602">
        <v>1</v>
      </c>
      <c r="BB1602" t="str">
        <f t="shared" si="80"/>
        <v xml:space="preserve">N162AM  </v>
      </c>
      <c r="BC1602">
        <v>1</v>
      </c>
      <c r="BE1602">
        <v>0</v>
      </c>
      <c r="BF1602">
        <v>0</v>
      </c>
      <c r="BG1602">
        <v>0</v>
      </c>
      <c r="BH1602">
        <v>1875</v>
      </c>
      <c r="BI1602">
        <v>1</v>
      </c>
      <c r="BJ1602">
        <v>1</v>
      </c>
      <c r="BK1602">
        <v>1</v>
      </c>
      <c r="BL1602">
        <v>0</v>
      </c>
      <c r="BO1602">
        <v>0</v>
      </c>
      <c r="BP1602">
        <v>0</v>
      </c>
      <c r="BW1602" t="str">
        <f>"14:51:29.174"</f>
        <v>14:51:29.174</v>
      </c>
      <c r="CJ1602">
        <v>3</v>
      </c>
      <c r="CK1602">
        <v>2</v>
      </c>
      <c r="CL1602">
        <v>0</v>
      </c>
      <c r="CM1602">
        <v>2</v>
      </c>
      <c r="CN1602">
        <v>0</v>
      </c>
      <c r="CO1602">
        <v>6</v>
      </c>
      <c r="CP1602" t="s">
        <v>119</v>
      </c>
      <c r="CQ1602">
        <v>232</v>
      </c>
      <c r="CR1602">
        <v>2</v>
      </c>
      <c r="CW1602">
        <v>6839377</v>
      </c>
      <c r="CY1602">
        <v>1</v>
      </c>
      <c r="CZ1602">
        <v>0</v>
      </c>
      <c r="DA1602">
        <v>0</v>
      </c>
      <c r="DB1602">
        <v>0</v>
      </c>
      <c r="DC1602">
        <v>0</v>
      </c>
      <c r="DD1602">
        <v>1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>"12/16/2021 14:51:29.376"</f>
        <v>12/16/2021 14:51:29.376</v>
      </c>
      <c r="C1603" t="str">
        <f t="shared" si="79"/>
        <v>FFDFD3C0</v>
      </c>
      <c r="D1603" t="s">
        <v>133</v>
      </c>
      <c r="E1603">
        <v>44</v>
      </c>
      <c r="H1603">
        <v>131</v>
      </c>
      <c r="I1603" t="s">
        <v>134</v>
      </c>
      <c r="J1603" t="s">
        <v>135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"14:51:29.172"</f>
        <v>14:51:29.172</v>
      </c>
      <c r="T1603" t="str">
        <f>"14:51:28.772"</f>
        <v>14:51:28.772</v>
      </c>
      <c r="U1603" t="str">
        <f t="shared" si="81"/>
        <v>A0F928</v>
      </c>
      <c r="V1603">
        <v>0</v>
      </c>
      <c r="W1603">
        <v>0</v>
      </c>
      <c r="X1603">
        <v>2</v>
      </c>
      <c r="Z1603">
        <v>0</v>
      </c>
      <c r="AA1603">
        <v>9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2</v>
      </c>
      <c r="AH1603">
        <v>1</v>
      </c>
      <c r="AI1603" t="s">
        <v>871</v>
      </c>
      <c r="AJ1603">
        <v>35.816352000000002</v>
      </c>
      <c r="AK1603" t="s">
        <v>872</v>
      </c>
      <c r="AL1603">
        <v>-84.029510000000002</v>
      </c>
      <c r="AM1603">
        <v>25</v>
      </c>
      <c r="AN1603">
        <v>1625</v>
      </c>
      <c r="AO1603" t="s">
        <v>118</v>
      </c>
      <c r="AP1603">
        <v>105</v>
      </c>
      <c r="AQ1603">
        <v>98</v>
      </c>
      <c r="AR1603">
        <v>576</v>
      </c>
      <c r="AZ1603">
        <v>300</v>
      </c>
      <c r="BA1603">
        <v>1</v>
      </c>
      <c r="BB1603" t="str">
        <f t="shared" si="80"/>
        <v xml:space="preserve">N162AM  </v>
      </c>
      <c r="BC1603">
        <v>1</v>
      </c>
      <c r="BE1603">
        <v>0</v>
      </c>
      <c r="BF1603">
        <v>0</v>
      </c>
      <c r="BG1603">
        <v>0</v>
      </c>
      <c r="BH1603">
        <v>1875</v>
      </c>
      <c r="BI1603">
        <v>1</v>
      </c>
      <c r="BJ1603">
        <v>1</v>
      </c>
      <c r="BK1603">
        <v>1</v>
      </c>
      <c r="BL1603">
        <v>0</v>
      </c>
      <c r="BO1603">
        <v>0</v>
      </c>
      <c r="BP1603">
        <v>0</v>
      </c>
      <c r="BW1603" t="str">
        <f>"14:51:29.174"</f>
        <v>14:51:29.174</v>
      </c>
      <c r="CJ1603">
        <v>3</v>
      </c>
      <c r="CK1603">
        <v>2</v>
      </c>
      <c r="CL1603">
        <v>0</v>
      </c>
      <c r="CM1603">
        <v>2</v>
      </c>
      <c r="CN1603">
        <v>0</v>
      </c>
      <c r="CO1603">
        <v>6</v>
      </c>
      <c r="CP1603" t="s">
        <v>119</v>
      </c>
      <c r="CQ1603">
        <v>232</v>
      </c>
      <c r="CR1603">
        <v>2</v>
      </c>
      <c r="CW1603">
        <v>6839377</v>
      </c>
      <c r="CY1603">
        <v>1</v>
      </c>
      <c r="CZ1603">
        <v>0</v>
      </c>
      <c r="DA1603">
        <v>1</v>
      </c>
      <c r="DB1603">
        <v>0</v>
      </c>
      <c r="DC1603">
        <v>0</v>
      </c>
      <c r="DD1603">
        <v>1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>"12/16/2021 14:51:29.360"</f>
        <v>12/16/2021 14:51:29.360</v>
      </c>
      <c r="C1604" t="str">
        <f t="shared" si="79"/>
        <v>FFDFD3C0</v>
      </c>
      <c r="D1604" t="s">
        <v>124</v>
      </c>
      <c r="E1604">
        <v>10</v>
      </c>
      <c r="F1604">
        <v>1010</v>
      </c>
      <c r="G1604" t="s">
        <v>130</v>
      </c>
      <c r="J1604" t="s">
        <v>125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"14:51:29.172"</f>
        <v>14:51:29.172</v>
      </c>
      <c r="T1604" t="str">
        <f>"14:51:28.772"</f>
        <v>14:51:28.772</v>
      </c>
      <c r="U1604" t="str">
        <f t="shared" si="81"/>
        <v>A0F928</v>
      </c>
      <c r="V1604">
        <v>0</v>
      </c>
      <c r="W1604">
        <v>0</v>
      </c>
      <c r="X1604">
        <v>2</v>
      </c>
      <c r="Z1604">
        <v>0</v>
      </c>
      <c r="AA1604">
        <v>9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2</v>
      </c>
      <c r="AH1604">
        <v>1</v>
      </c>
      <c r="AI1604" t="s">
        <v>871</v>
      </c>
      <c r="AJ1604">
        <v>35.816352000000002</v>
      </c>
      <c r="AK1604" t="s">
        <v>872</v>
      </c>
      <c r="AL1604">
        <v>-84.029510000000002</v>
      </c>
      <c r="AM1604">
        <v>25</v>
      </c>
      <c r="AN1604">
        <v>1625</v>
      </c>
      <c r="AO1604" t="s">
        <v>118</v>
      </c>
      <c r="AP1604">
        <v>105</v>
      </c>
      <c r="AQ1604">
        <v>98</v>
      </c>
      <c r="AR1604">
        <v>576</v>
      </c>
      <c r="AZ1604">
        <v>300</v>
      </c>
      <c r="BA1604">
        <v>1</v>
      </c>
      <c r="BB1604" t="str">
        <f t="shared" si="80"/>
        <v xml:space="preserve">N162AM  </v>
      </c>
      <c r="BC1604">
        <v>1</v>
      </c>
      <c r="BE1604">
        <v>0</v>
      </c>
      <c r="BF1604">
        <v>0</v>
      </c>
      <c r="BG1604">
        <v>0</v>
      </c>
      <c r="BH1604">
        <v>1875</v>
      </c>
      <c r="BI1604">
        <v>1</v>
      </c>
      <c r="BJ1604">
        <v>1</v>
      </c>
      <c r="BK1604">
        <v>1</v>
      </c>
      <c r="BL1604">
        <v>0</v>
      </c>
      <c r="BO1604">
        <v>0</v>
      </c>
      <c r="BP1604">
        <v>0</v>
      </c>
      <c r="BW1604" t="str">
        <f>"14:51:29.174"</f>
        <v>14:51:29.174</v>
      </c>
      <c r="CJ1604">
        <v>3</v>
      </c>
      <c r="CK1604">
        <v>2</v>
      </c>
      <c r="CL1604">
        <v>0</v>
      </c>
      <c r="CM1604">
        <v>2</v>
      </c>
      <c r="CN1604">
        <v>0</v>
      </c>
      <c r="CO1604">
        <v>6</v>
      </c>
      <c r="CP1604" t="s">
        <v>119</v>
      </c>
      <c r="CQ1604">
        <v>232</v>
      </c>
      <c r="CR1604">
        <v>2</v>
      </c>
      <c r="CW1604">
        <v>6839377</v>
      </c>
      <c r="CY1604">
        <v>1</v>
      </c>
      <c r="CZ1604">
        <v>0</v>
      </c>
      <c r="DA1604">
        <v>1</v>
      </c>
      <c r="DB1604">
        <v>0</v>
      </c>
      <c r="DC1604">
        <v>0</v>
      </c>
      <c r="DD1604">
        <v>1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>"12/16/2021 14:51:29.423"</f>
        <v>12/16/2021 14:51:29.423</v>
      </c>
      <c r="C1605" t="str">
        <f t="shared" si="79"/>
        <v>FFDFD3C0</v>
      </c>
      <c r="D1605" t="s">
        <v>113</v>
      </c>
      <c r="E1605">
        <v>8</v>
      </c>
      <c r="H1605">
        <v>176</v>
      </c>
      <c r="I1605" t="s">
        <v>114</v>
      </c>
      <c r="J1605" t="s">
        <v>115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>"14:51:29.172"</f>
        <v>14:51:29.172</v>
      </c>
      <c r="T1605" t="str">
        <f>"14:51:28.772"</f>
        <v>14:51:28.772</v>
      </c>
      <c r="U1605" t="str">
        <f t="shared" si="81"/>
        <v>A0F928</v>
      </c>
      <c r="V1605">
        <v>0</v>
      </c>
      <c r="W1605">
        <v>0</v>
      </c>
      <c r="X1605">
        <v>2</v>
      </c>
      <c r="Z1605">
        <v>0</v>
      </c>
      <c r="AA1605">
        <v>9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2</v>
      </c>
      <c r="AH1605">
        <v>1</v>
      </c>
      <c r="AI1605" t="s">
        <v>871</v>
      </c>
      <c r="AJ1605">
        <v>35.816352000000002</v>
      </c>
      <c r="AK1605" t="s">
        <v>872</v>
      </c>
      <c r="AL1605">
        <v>-84.029510000000002</v>
      </c>
      <c r="AM1605">
        <v>25</v>
      </c>
      <c r="AN1605">
        <v>1625</v>
      </c>
      <c r="AO1605" t="s">
        <v>118</v>
      </c>
      <c r="AP1605">
        <v>105</v>
      </c>
      <c r="AQ1605">
        <v>98</v>
      </c>
      <c r="AR1605">
        <v>576</v>
      </c>
      <c r="AZ1605">
        <v>300</v>
      </c>
      <c r="BA1605">
        <v>1</v>
      </c>
      <c r="BB1605" t="str">
        <f t="shared" si="80"/>
        <v xml:space="preserve">N162AM  </v>
      </c>
      <c r="BC1605">
        <v>1</v>
      </c>
      <c r="BE1605">
        <v>0</v>
      </c>
      <c r="BF1605">
        <v>0</v>
      </c>
      <c r="BG1605">
        <v>0</v>
      </c>
      <c r="BH1605">
        <v>1875</v>
      </c>
      <c r="BI1605">
        <v>1</v>
      </c>
      <c r="BJ1605">
        <v>1</v>
      </c>
      <c r="BK1605">
        <v>1</v>
      </c>
      <c r="BL1605">
        <v>0</v>
      </c>
      <c r="BO1605">
        <v>0</v>
      </c>
      <c r="BP1605">
        <v>0</v>
      </c>
      <c r="BW1605" t="str">
        <f>"14:51:29.174"</f>
        <v>14:51:29.174</v>
      </c>
      <c r="CJ1605">
        <v>3</v>
      </c>
      <c r="CK1605">
        <v>2</v>
      </c>
      <c r="CL1605">
        <v>0</v>
      </c>
      <c r="CM1605">
        <v>2</v>
      </c>
      <c r="CN1605">
        <v>0</v>
      </c>
      <c r="CO1605">
        <v>6</v>
      </c>
      <c r="CP1605" t="s">
        <v>119</v>
      </c>
      <c r="CQ1605">
        <v>232</v>
      </c>
      <c r="CR1605">
        <v>2</v>
      </c>
      <c r="CW1605">
        <v>6839377</v>
      </c>
      <c r="CY1605">
        <v>1</v>
      </c>
      <c r="CZ1605">
        <v>0</v>
      </c>
      <c r="DA1605">
        <v>1</v>
      </c>
      <c r="DB1605">
        <v>0</v>
      </c>
      <c r="DC1605">
        <v>0</v>
      </c>
      <c r="DD1605">
        <v>1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>"12/16/2021 14:51:30.351"</f>
        <v>12/16/2021 14:51:30.351</v>
      </c>
      <c r="C1606" t="str">
        <f t="shared" si="79"/>
        <v>FFDFD3C0</v>
      </c>
      <c r="D1606" t="s">
        <v>113</v>
      </c>
      <c r="E1606">
        <v>8</v>
      </c>
      <c r="H1606">
        <v>176</v>
      </c>
      <c r="I1606" t="s">
        <v>114</v>
      </c>
      <c r="J1606" t="s">
        <v>115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>"14:51:30.188"</f>
        <v>14:51:30.188</v>
      </c>
      <c r="T1606" t="str">
        <f>"14:51:29.688"</f>
        <v>14:51:29.688</v>
      </c>
      <c r="U1606" t="str">
        <f t="shared" si="81"/>
        <v>A0F928</v>
      </c>
      <c r="V1606">
        <v>0</v>
      </c>
      <c r="W1606">
        <v>0</v>
      </c>
      <c r="X1606">
        <v>2</v>
      </c>
      <c r="Z1606">
        <v>0</v>
      </c>
      <c r="AA1606">
        <v>9</v>
      </c>
      <c r="AB1606">
        <v>3</v>
      </c>
      <c r="AC1606">
        <v>0</v>
      </c>
      <c r="AD1606">
        <v>10</v>
      </c>
      <c r="AE1606">
        <v>0</v>
      </c>
      <c r="AF1606">
        <v>3</v>
      </c>
      <c r="AG1606">
        <v>2</v>
      </c>
      <c r="AH1606">
        <v>1</v>
      </c>
      <c r="AI1606" t="s">
        <v>543</v>
      </c>
      <c r="AJ1606">
        <v>35.816803</v>
      </c>
      <c r="AK1606" t="s">
        <v>873</v>
      </c>
      <c r="AL1606">
        <v>-84.028865999999994</v>
      </c>
      <c r="AM1606">
        <v>25</v>
      </c>
      <c r="AN1606">
        <v>1625</v>
      </c>
      <c r="AO1606" t="s">
        <v>118</v>
      </c>
      <c r="AP1606">
        <v>104</v>
      </c>
      <c r="AQ1606">
        <v>99</v>
      </c>
      <c r="AR1606">
        <v>576</v>
      </c>
      <c r="AZ1606">
        <v>300</v>
      </c>
      <c r="BA1606">
        <v>1</v>
      </c>
      <c r="BB1606" t="str">
        <f t="shared" si="80"/>
        <v xml:space="preserve">N162AM  </v>
      </c>
      <c r="BC1606">
        <v>1</v>
      </c>
      <c r="BE1606">
        <v>0</v>
      </c>
      <c r="BF1606">
        <v>0</v>
      </c>
      <c r="BG1606">
        <v>0</v>
      </c>
      <c r="BH1606">
        <v>1875</v>
      </c>
      <c r="BI1606">
        <v>1</v>
      </c>
      <c r="BJ1606">
        <v>1</v>
      </c>
      <c r="BK1606">
        <v>1</v>
      </c>
      <c r="BL1606">
        <v>0</v>
      </c>
      <c r="BO1606">
        <v>0</v>
      </c>
      <c r="BP1606">
        <v>0</v>
      </c>
      <c r="BW1606" t="str">
        <f>"14:51:30.190"</f>
        <v>14:51:30.190</v>
      </c>
      <c r="CJ1606">
        <v>3</v>
      </c>
      <c r="CK1606">
        <v>2</v>
      </c>
      <c r="CL1606">
        <v>0</v>
      </c>
      <c r="CM1606">
        <v>2</v>
      </c>
      <c r="CN1606">
        <v>0</v>
      </c>
      <c r="CO1606">
        <v>2</v>
      </c>
      <c r="CP1606" t="s">
        <v>119</v>
      </c>
      <c r="CQ1606">
        <v>216</v>
      </c>
      <c r="CR1606">
        <v>0</v>
      </c>
      <c r="CW1606">
        <v>1014168</v>
      </c>
      <c r="CY1606">
        <v>1</v>
      </c>
      <c r="CZ1606">
        <v>0</v>
      </c>
      <c r="DA1606">
        <v>0</v>
      </c>
      <c r="DB1606">
        <v>0</v>
      </c>
      <c r="DC1606">
        <v>0</v>
      </c>
      <c r="DD1606">
        <v>1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>"12/16/2021 14:51:30.398"</f>
        <v>12/16/2021 14:51:30.398</v>
      </c>
      <c r="C1607" t="str">
        <f t="shared" si="79"/>
        <v>FFDFD3C0</v>
      </c>
      <c r="D1607" t="s">
        <v>124</v>
      </c>
      <c r="E1607">
        <v>5</v>
      </c>
      <c r="F1607">
        <v>1005</v>
      </c>
      <c r="G1607" t="s">
        <v>114</v>
      </c>
      <c r="J1607" t="s">
        <v>125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>"14:51:30.188"</f>
        <v>14:51:30.188</v>
      </c>
      <c r="T1607" t="str">
        <f>"14:51:29.688"</f>
        <v>14:51:29.688</v>
      </c>
      <c r="U1607" t="str">
        <f t="shared" si="81"/>
        <v>A0F928</v>
      </c>
      <c r="V1607">
        <v>0</v>
      </c>
      <c r="W1607">
        <v>0</v>
      </c>
      <c r="X1607">
        <v>2</v>
      </c>
      <c r="Z1607">
        <v>0</v>
      </c>
      <c r="AA1607">
        <v>9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2</v>
      </c>
      <c r="AH1607">
        <v>1</v>
      </c>
      <c r="AI1607" t="s">
        <v>543</v>
      </c>
      <c r="AJ1607">
        <v>35.816803</v>
      </c>
      <c r="AK1607" t="s">
        <v>873</v>
      </c>
      <c r="AL1607">
        <v>-84.028865999999994</v>
      </c>
      <c r="AM1607">
        <v>25</v>
      </c>
      <c r="AN1607">
        <v>1625</v>
      </c>
      <c r="AO1607" t="s">
        <v>118</v>
      </c>
      <c r="AP1607">
        <v>104</v>
      </c>
      <c r="AQ1607">
        <v>99</v>
      </c>
      <c r="AR1607">
        <v>576</v>
      </c>
      <c r="AZ1607">
        <v>300</v>
      </c>
      <c r="BA1607">
        <v>1</v>
      </c>
      <c r="BB1607" t="str">
        <f t="shared" si="80"/>
        <v xml:space="preserve">N162AM  </v>
      </c>
      <c r="BC1607">
        <v>1</v>
      </c>
      <c r="BE1607">
        <v>0</v>
      </c>
      <c r="BF1607">
        <v>0</v>
      </c>
      <c r="BG1607">
        <v>0</v>
      </c>
      <c r="BH1607">
        <v>1875</v>
      </c>
      <c r="BI1607">
        <v>1</v>
      </c>
      <c r="BJ1607">
        <v>1</v>
      </c>
      <c r="BK1607">
        <v>1</v>
      </c>
      <c r="BL1607">
        <v>0</v>
      </c>
      <c r="BO1607">
        <v>0</v>
      </c>
      <c r="BP1607">
        <v>0</v>
      </c>
      <c r="BW1607" t="str">
        <f>"14:51:30.190"</f>
        <v>14:51:30.190</v>
      </c>
      <c r="CJ1607">
        <v>3</v>
      </c>
      <c r="CK1607">
        <v>2</v>
      </c>
      <c r="CL1607">
        <v>0</v>
      </c>
      <c r="CM1607">
        <v>2</v>
      </c>
      <c r="CN1607">
        <v>0</v>
      </c>
      <c r="CO1607">
        <v>2</v>
      </c>
      <c r="CP1607" t="s">
        <v>119</v>
      </c>
      <c r="CQ1607">
        <v>216</v>
      </c>
      <c r="CR1607">
        <v>0</v>
      </c>
      <c r="CW1607">
        <v>1014168</v>
      </c>
      <c r="CY1607">
        <v>1</v>
      </c>
      <c r="CZ1607">
        <v>0</v>
      </c>
      <c r="DA1607">
        <v>1</v>
      </c>
      <c r="DB1607">
        <v>0</v>
      </c>
      <c r="DC1607">
        <v>0</v>
      </c>
      <c r="DD1607">
        <v>1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>"12/16/2021 14:51:30.398"</f>
        <v>12/16/2021 14:51:30.398</v>
      </c>
      <c r="C1608" t="str">
        <f t="shared" si="79"/>
        <v>FFDFD3C0</v>
      </c>
      <c r="D1608" t="s">
        <v>124</v>
      </c>
      <c r="E1608">
        <v>10</v>
      </c>
      <c r="F1608">
        <v>1010</v>
      </c>
      <c r="G1608" t="s">
        <v>130</v>
      </c>
      <c r="J1608" t="s">
        <v>125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>"14:51:30.188"</f>
        <v>14:51:30.188</v>
      </c>
      <c r="T1608" t="str">
        <f>"14:51:29.688"</f>
        <v>14:51:29.688</v>
      </c>
      <c r="U1608" t="str">
        <f t="shared" si="81"/>
        <v>A0F928</v>
      </c>
      <c r="V1608">
        <v>0</v>
      </c>
      <c r="W1608">
        <v>0</v>
      </c>
      <c r="X1608">
        <v>2</v>
      </c>
      <c r="Z1608">
        <v>0</v>
      </c>
      <c r="AA1608">
        <v>9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2</v>
      </c>
      <c r="AH1608">
        <v>1</v>
      </c>
      <c r="AI1608" t="s">
        <v>543</v>
      </c>
      <c r="AJ1608">
        <v>35.816803</v>
      </c>
      <c r="AK1608" t="s">
        <v>873</v>
      </c>
      <c r="AL1608">
        <v>-84.028865999999994</v>
      </c>
      <c r="AM1608">
        <v>25</v>
      </c>
      <c r="AN1608">
        <v>1625</v>
      </c>
      <c r="AO1608" t="s">
        <v>118</v>
      </c>
      <c r="AP1608">
        <v>104</v>
      </c>
      <c r="AQ1608">
        <v>99</v>
      </c>
      <c r="AR1608">
        <v>576</v>
      </c>
      <c r="AZ1608">
        <v>300</v>
      </c>
      <c r="BA1608">
        <v>1</v>
      </c>
      <c r="BB1608" t="str">
        <f t="shared" si="80"/>
        <v xml:space="preserve">N162AM  </v>
      </c>
      <c r="BC1608">
        <v>1</v>
      </c>
      <c r="BE1608">
        <v>0</v>
      </c>
      <c r="BF1608">
        <v>0</v>
      </c>
      <c r="BG1608">
        <v>0</v>
      </c>
      <c r="BH1608">
        <v>1875</v>
      </c>
      <c r="BI1608">
        <v>1</v>
      </c>
      <c r="BJ1608">
        <v>1</v>
      </c>
      <c r="BK1608">
        <v>1</v>
      </c>
      <c r="BL1608">
        <v>0</v>
      </c>
      <c r="BO1608">
        <v>0</v>
      </c>
      <c r="BP1608">
        <v>0</v>
      </c>
      <c r="BW1608" t="str">
        <f>"14:51:30.190"</f>
        <v>14:51:30.190</v>
      </c>
      <c r="CJ1608">
        <v>3</v>
      </c>
      <c r="CK1608">
        <v>2</v>
      </c>
      <c r="CL1608">
        <v>0</v>
      </c>
      <c r="CM1608">
        <v>2</v>
      </c>
      <c r="CN1608">
        <v>0</v>
      </c>
      <c r="CO1608">
        <v>2</v>
      </c>
      <c r="CP1608" t="s">
        <v>119</v>
      </c>
      <c r="CQ1608">
        <v>216</v>
      </c>
      <c r="CR1608">
        <v>0</v>
      </c>
      <c r="CW1608">
        <v>1014168</v>
      </c>
      <c r="CY1608">
        <v>1</v>
      </c>
      <c r="CZ1608">
        <v>0</v>
      </c>
      <c r="DA1608">
        <v>1</v>
      </c>
      <c r="DB1608">
        <v>0</v>
      </c>
      <c r="DC1608">
        <v>0</v>
      </c>
      <c r="DD1608">
        <v>1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>"12/16/2021 14:51:30.398"</f>
        <v>12/16/2021 14:51:30.398</v>
      </c>
      <c r="C1609" t="str">
        <f t="shared" si="79"/>
        <v>FFDFD3C0</v>
      </c>
      <c r="D1609" t="s">
        <v>133</v>
      </c>
      <c r="E1609">
        <v>44</v>
      </c>
      <c r="H1609">
        <v>131</v>
      </c>
      <c r="I1609" t="s">
        <v>134</v>
      </c>
      <c r="J1609" t="s">
        <v>135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"14:51:30.188"</f>
        <v>14:51:30.188</v>
      </c>
      <c r="T1609" t="str">
        <f>"14:51:29.688"</f>
        <v>14:51:29.688</v>
      </c>
      <c r="U1609" t="str">
        <f t="shared" si="81"/>
        <v>A0F928</v>
      </c>
      <c r="V1609">
        <v>0</v>
      </c>
      <c r="W1609">
        <v>0</v>
      </c>
      <c r="X1609">
        <v>2</v>
      </c>
      <c r="Z1609">
        <v>0</v>
      </c>
      <c r="AA1609">
        <v>9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2</v>
      </c>
      <c r="AH1609">
        <v>1</v>
      </c>
      <c r="AI1609" t="s">
        <v>543</v>
      </c>
      <c r="AJ1609">
        <v>35.816803</v>
      </c>
      <c r="AK1609" t="s">
        <v>873</v>
      </c>
      <c r="AL1609">
        <v>-84.028865999999994</v>
      </c>
      <c r="AM1609">
        <v>25</v>
      </c>
      <c r="AN1609">
        <v>1625</v>
      </c>
      <c r="AO1609" t="s">
        <v>118</v>
      </c>
      <c r="AP1609">
        <v>104</v>
      </c>
      <c r="AQ1609">
        <v>99</v>
      </c>
      <c r="AR1609">
        <v>576</v>
      </c>
      <c r="AZ1609">
        <v>300</v>
      </c>
      <c r="BA1609">
        <v>1</v>
      </c>
      <c r="BB1609" t="str">
        <f t="shared" si="80"/>
        <v xml:space="preserve">N162AM  </v>
      </c>
      <c r="BC1609">
        <v>1</v>
      </c>
      <c r="BE1609">
        <v>0</v>
      </c>
      <c r="BF1609">
        <v>0</v>
      </c>
      <c r="BG1609">
        <v>0</v>
      </c>
      <c r="BH1609">
        <v>1875</v>
      </c>
      <c r="BI1609">
        <v>1</v>
      </c>
      <c r="BJ1609">
        <v>1</v>
      </c>
      <c r="BK1609">
        <v>1</v>
      </c>
      <c r="BL1609">
        <v>0</v>
      </c>
      <c r="BO1609">
        <v>0</v>
      </c>
      <c r="BP1609">
        <v>0</v>
      </c>
      <c r="BW1609" t="str">
        <f>"14:51:30.190"</f>
        <v>14:51:30.190</v>
      </c>
      <c r="CJ1609">
        <v>3</v>
      </c>
      <c r="CK1609">
        <v>2</v>
      </c>
      <c r="CL1609">
        <v>0</v>
      </c>
      <c r="CM1609">
        <v>2</v>
      </c>
      <c r="CN1609">
        <v>0</v>
      </c>
      <c r="CO1609">
        <v>2</v>
      </c>
      <c r="CP1609" t="s">
        <v>119</v>
      </c>
      <c r="CQ1609">
        <v>216</v>
      </c>
      <c r="CR1609">
        <v>0</v>
      </c>
      <c r="CW1609">
        <v>1014168</v>
      </c>
      <c r="CY1609">
        <v>1</v>
      </c>
      <c r="CZ1609">
        <v>0</v>
      </c>
      <c r="DA1609">
        <v>1</v>
      </c>
      <c r="DB1609">
        <v>0</v>
      </c>
      <c r="DC1609">
        <v>0</v>
      </c>
      <c r="DD1609">
        <v>1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>"12/16/2021 14:51:31.273"</f>
        <v>12/16/2021 14:51:31.273</v>
      </c>
      <c r="C1610" t="str">
        <f t="shared" si="79"/>
        <v>FFDFD3C0</v>
      </c>
      <c r="D1610" t="s">
        <v>113</v>
      </c>
      <c r="E1610">
        <v>8</v>
      </c>
      <c r="H1610">
        <v>176</v>
      </c>
      <c r="I1610" t="s">
        <v>114</v>
      </c>
      <c r="J1610" t="s">
        <v>115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>"14:51:31.094"</f>
        <v>14:51:31.094</v>
      </c>
      <c r="T1610" t="str">
        <f>"14:51:30.694"</f>
        <v>14:51:30.694</v>
      </c>
      <c r="U1610" t="str">
        <f t="shared" si="81"/>
        <v>A0F928</v>
      </c>
      <c r="V1610">
        <v>0</v>
      </c>
      <c r="W1610">
        <v>0</v>
      </c>
      <c r="X1610">
        <v>2</v>
      </c>
      <c r="Z1610">
        <v>0</v>
      </c>
      <c r="AA1610">
        <v>9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2</v>
      </c>
      <c r="AH1610">
        <v>1</v>
      </c>
      <c r="AI1610" t="s">
        <v>874</v>
      </c>
      <c r="AJ1610">
        <v>35.817253999999998</v>
      </c>
      <c r="AK1610" t="s">
        <v>875</v>
      </c>
      <c r="AL1610">
        <v>-84.028351000000001</v>
      </c>
      <c r="AM1610">
        <v>25</v>
      </c>
      <c r="AN1610">
        <v>1625</v>
      </c>
      <c r="AO1610" t="s">
        <v>118</v>
      </c>
      <c r="AP1610">
        <v>104</v>
      </c>
      <c r="AQ1610">
        <v>99</v>
      </c>
      <c r="AR1610">
        <v>512</v>
      </c>
      <c r="AZ1610">
        <v>300</v>
      </c>
      <c r="BA1610">
        <v>1</v>
      </c>
      <c r="BB1610" t="str">
        <f t="shared" si="80"/>
        <v xml:space="preserve">N162AM  </v>
      </c>
      <c r="BC1610">
        <v>1</v>
      </c>
      <c r="BE1610">
        <v>0</v>
      </c>
      <c r="BF1610">
        <v>0</v>
      </c>
      <c r="BG1610">
        <v>0</v>
      </c>
      <c r="BH1610">
        <v>1900</v>
      </c>
      <c r="BI1610">
        <v>1</v>
      </c>
      <c r="BJ1610">
        <v>1</v>
      </c>
      <c r="BK1610">
        <v>1</v>
      </c>
      <c r="BL1610">
        <v>0</v>
      </c>
      <c r="BO1610">
        <v>0</v>
      </c>
      <c r="BP1610">
        <v>0</v>
      </c>
      <c r="BW1610" t="str">
        <f>"14:51:31.094"</f>
        <v>14:51:31.094</v>
      </c>
      <c r="CJ1610">
        <v>3</v>
      </c>
      <c r="CK1610">
        <v>2</v>
      </c>
      <c r="CL1610">
        <v>0</v>
      </c>
      <c r="CM1610">
        <v>2</v>
      </c>
      <c r="CN1610">
        <v>0</v>
      </c>
      <c r="CO1610">
        <v>6</v>
      </c>
      <c r="CP1610" t="s">
        <v>119</v>
      </c>
      <c r="CQ1610">
        <v>232</v>
      </c>
      <c r="CR1610">
        <v>2</v>
      </c>
      <c r="CW1610">
        <v>6842417</v>
      </c>
      <c r="CY1610">
        <v>1</v>
      </c>
      <c r="CZ1610">
        <v>0</v>
      </c>
      <c r="DA1610">
        <v>0</v>
      </c>
      <c r="DB1610">
        <v>0</v>
      </c>
      <c r="DC1610">
        <v>0</v>
      </c>
      <c r="DD1610">
        <v>1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>"12/16/2021 14:51:31.273"</f>
        <v>12/16/2021 14:51:31.273</v>
      </c>
      <c r="C1611" t="str">
        <f t="shared" si="79"/>
        <v>FFDFD3C0</v>
      </c>
      <c r="D1611" t="s">
        <v>124</v>
      </c>
      <c r="E1611">
        <v>5</v>
      </c>
      <c r="F1611">
        <v>1005</v>
      </c>
      <c r="G1611" t="s">
        <v>114</v>
      </c>
      <c r="J1611" t="s">
        <v>125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>"14:51:31.094"</f>
        <v>14:51:31.094</v>
      </c>
      <c r="T1611" t="str">
        <f>"14:51:30.694"</f>
        <v>14:51:30.694</v>
      </c>
      <c r="U1611" t="str">
        <f t="shared" si="81"/>
        <v>A0F928</v>
      </c>
      <c r="V1611">
        <v>0</v>
      </c>
      <c r="W1611">
        <v>0</v>
      </c>
      <c r="X1611">
        <v>2</v>
      </c>
      <c r="Z1611">
        <v>0</v>
      </c>
      <c r="AA1611">
        <v>9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2</v>
      </c>
      <c r="AH1611">
        <v>1</v>
      </c>
      <c r="AI1611" t="s">
        <v>874</v>
      </c>
      <c r="AJ1611">
        <v>35.817253999999998</v>
      </c>
      <c r="AK1611" t="s">
        <v>875</v>
      </c>
      <c r="AL1611">
        <v>-84.028351000000001</v>
      </c>
      <c r="AM1611">
        <v>25</v>
      </c>
      <c r="AN1611">
        <v>1625</v>
      </c>
      <c r="AO1611" t="s">
        <v>118</v>
      </c>
      <c r="AP1611">
        <v>104</v>
      </c>
      <c r="AQ1611">
        <v>99</v>
      </c>
      <c r="AR1611">
        <v>512</v>
      </c>
      <c r="AZ1611">
        <v>300</v>
      </c>
      <c r="BA1611">
        <v>1</v>
      </c>
      <c r="BB1611" t="str">
        <f t="shared" si="80"/>
        <v xml:space="preserve">N162AM  </v>
      </c>
      <c r="BC1611">
        <v>1</v>
      </c>
      <c r="BE1611">
        <v>0</v>
      </c>
      <c r="BF1611">
        <v>0</v>
      </c>
      <c r="BG1611">
        <v>0</v>
      </c>
      <c r="BH1611">
        <v>1900</v>
      </c>
      <c r="BI1611">
        <v>1</v>
      </c>
      <c r="BJ1611">
        <v>1</v>
      </c>
      <c r="BK1611">
        <v>1</v>
      </c>
      <c r="BL1611">
        <v>0</v>
      </c>
      <c r="BO1611">
        <v>0</v>
      </c>
      <c r="BP1611">
        <v>0</v>
      </c>
      <c r="BW1611" t="str">
        <f>"14:51:31.094"</f>
        <v>14:51:31.094</v>
      </c>
      <c r="CJ1611">
        <v>3</v>
      </c>
      <c r="CK1611">
        <v>2</v>
      </c>
      <c r="CL1611">
        <v>0</v>
      </c>
      <c r="CM1611">
        <v>2</v>
      </c>
      <c r="CN1611">
        <v>0</v>
      </c>
      <c r="CO1611">
        <v>6</v>
      </c>
      <c r="CP1611" t="s">
        <v>119</v>
      </c>
      <c r="CQ1611">
        <v>232</v>
      </c>
      <c r="CR1611">
        <v>2</v>
      </c>
      <c r="CW1611">
        <v>6842417</v>
      </c>
      <c r="CY1611">
        <v>1</v>
      </c>
      <c r="CZ1611">
        <v>0</v>
      </c>
      <c r="DA1611">
        <v>1</v>
      </c>
      <c r="DB1611">
        <v>0</v>
      </c>
      <c r="DC1611">
        <v>0</v>
      </c>
      <c r="DD1611">
        <v>1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>"12/16/2021 14:51:31.273"</f>
        <v>12/16/2021 14:51:31.273</v>
      </c>
      <c r="C1612" t="str">
        <f t="shared" si="79"/>
        <v>FFDFD3C0</v>
      </c>
      <c r="D1612" t="s">
        <v>124</v>
      </c>
      <c r="E1612">
        <v>10</v>
      </c>
      <c r="F1612">
        <v>1010</v>
      </c>
      <c r="G1612" t="s">
        <v>130</v>
      </c>
      <c r="J1612" t="s">
        <v>125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>"14:51:31.094"</f>
        <v>14:51:31.094</v>
      </c>
      <c r="T1612" t="str">
        <f>"14:51:30.694"</f>
        <v>14:51:30.694</v>
      </c>
      <c r="U1612" t="str">
        <f t="shared" si="81"/>
        <v>A0F928</v>
      </c>
      <c r="V1612">
        <v>0</v>
      </c>
      <c r="W1612">
        <v>0</v>
      </c>
      <c r="X1612">
        <v>2</v>
      </c>
      <c r="Z1612">
        <v>0</v>
      </c>
      <c r="AA1612">
        <v>9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2</v>
      </c>
      <c r="AH1612">
        <v>1</v>
      </c>
      <c r="AI1612" t="s">
        <v>874</v>
      </c>
      <c r="AJ1612">
        <v>35.817253999999998</v>
      </c>
      <c r="AK1612" t="s">
        <v>875</v>
      </c>
      <c r="AL1612">
        <v>-84.028351000000001</v>
      </c>
      <c r="AM1612">
        <v>25</v>
      </c>
      <c r="AN1612">
        <v>1625</v>
      </c>
      <c r="AO1612" t="s">
        <v>118</v>
      </c>
      <c r="AP1612">
        <v>104</v>
      </c>
      <c r="AQ1612">
        <v>99</v>
      </c>
      <c r="AR1612">
        <v>512</v>
      </c>
      <c r="AZ1612">
        <v>300</v>
      </c>
      <c r="BA1612">
        <v>1</v>
      </c>
      <c r="BB1612" t="str">
        <f t="shared" si="80"/>
        <v xml:space="preserve">N162AM  </v>
      </c>
      <c r="BC1612">
        <v>1</v>
      </c>
      <c r="BE1612">
        <v>0</v>
      </c>
      <c r="BF1612">
        <v>0</v>
      </c>
      <c r="BG1612">
        <v>0</v>
      </c>
      <c r="BH1612">
        <v>1900</v>
      </c>
      <c r="BI1612">
        <v>1</v>
      </c>
      <c r="BJ1612">
        <v>1</v>
      </c>
      <c r="BK1612">
        <v>1</v>
      </c>
      <c r="BL1612">
        <v>0</v>
      </c>
      <c r="BO1612">
        <v>0</v>
      </c>
      <c r="BP1612">
        <v>0</v>
      </c>
      <c r="BW1612" t="str">
        <f>"14:51:31.094"</f>
        <v>14:51:31.094</v>
      </c>
      <c r="CJ1612">
        <v>3</v>
      </c>
      <c r="CK1612">
        <v>2</v>
      </c>
      <c r="CL1612">
        <v>0</v>
      </c>
      <c r="CM1612">
        <v>2</v>
      </c>
      <c r="CN1612">
        <v>0</v>
      </c>
      <c r="CO1612">
        <v>6</v>
      </c>
      <c r="CP1612" t="s">
        <v>119</v>
      </c>
      <c r="CQ1612">
        <v>232</v>
      </c>
      <c r="CR1612">
        <v>2</v>
      </c>
      <c r="CW1612">
        <v>6842417</v>
      </c>
      <c r="CY1612">
        <v>1</v>
      </c>
      <c r="CZ1612">
        <v>0</v>
      </c>
      <c r="DA1612">
        <v>1</v>
      </c>
      <c r="DB1612">
        <v>0</v>
      </c>
      <c r="DC1612">
        <v>0</v>
      </c>
      <c r="DD1612">
        <v>1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>"12/16/2021 14:51:31.304"</f>
        <v>12/16/2021 14:51:31.304</v>
      </c>
      <c r="C1613" t="str">
        <f t="shared" si="79"/>
        <v>FFDFD3C0</v>
      </c>
      <c r="D1613" t="s">
        <v>133</v>
      </c>
      <c r="E1613">
        <v>44</v>
      </c>
      <c r="H1613">
        <v>131</v>
      </c>
      <c r="I1613" t="s">
        <v>134</v>
      </c>
      <c r="J1613" t="s">
        <v>135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>"14:51:31.094"</f>
        <v>14:51:31.094</v>
      </c>
      <c r="T1613" t="str">
        <f>"14:51:30.694"</f>
        <v>14:51:30.694</v>
      </c>
      <c r="U1613" t="str">
        <f t="shared" si="81"/>
        <v>A0F928</v>
      </c>
      <c r="V1613">
        <v>0</v>
      </c>
      <c r="W1613">
        <v>0</v>
      </c>
      <c r="X1613">
        <v>2</v>
      </c>
      <c r="Z1613">
        <v>0</v>
      </c>
      <c r="AA1613">
        <v>9</v>
      </c>
      <c r="AB1613">
        <v>3</v>
      </c>
      <c r="AC1613">
        <v>0</v>
      </c>
      <c r="AD1613">
        <v>10</v>
      </c>
      <c r="AE1613">
        <v>0</v>
      </c>
      <c r="AF1613">
        <v>3</v>
      </c>
      <c r="AG1613">
        <v>2</v>
      </c>
      <c r="AH1613">
        <v>1</v>
      </c>
      <c r="AI1613" t="s">
        <v>874</v>
      </c>
      <c r="AJ1613">
        <v>35.817253999999998</v>
      </c>
      <c r="AK1613" t="s">
        <v>875</v>
      </c>
      <c r="AL1613">
        <v>-84.028351000000001</v>
      </c>
      <c r="AM1613">
        <v>25</v>
      </c>
      <c r="AN1613">
        <v>1625</v>
      </c>
      <c r="AO1613" t="s">
        <v>118</v>
      </c>
      <c r="AP1613">
        <v>104</v>
      </c>
      <c r="AQ1613">
        <v>99</v>
      </c>
      <c r="AR1613">
        <v>512</v>
      </c>
      <c r="AZ1613">
        <v>300</v>
      </c>
      <c r="BA1613">
        <v>1</v>
      </c>
      <c r="BB1613" t="str">
        <f t="shared" si="80"/>
        <v xml:space="preserve">N162AM  </v>
      </c>
      <c r="BC1613">
        <v>1</v>
      </c>
      <c r="BE1613">
        <v>0</v>
      </c>
      <c r="BF1613">
        <v>0</v>
      </c>
      <c r="BG1613">
        <v>0</v>
      </c>
      <c r="BH1613">
        <v>1900</v>
      </c>
      <c r="BI1613">
        <v>1</v>
      </c>
      <c r="BJ1613">
        <v>1</v>
      </c>
      <c r="BK1613">
        <v>1</v>
      </c>
      <c r="BL1613">
        <v>0</v>
      </c>
      <c r="BO1613">
        <v>0</v>
      </c>
      <c r="BP1613">
        <v>0</v>
      </c>
      <c r="BW1613" t="str">
        <f>"14:51:31.094"</f>
        <v>14:51:31.094</v>
      </c>
      <c r="CJ1613">
        <v>3</v>
      </c>
      <c r="CK1613">
        <v>2</v>
      </c>
      <c r="CL1613">
        <v>0</v>
      </c>
      <c r="CM1613">
        <v>2</v>
      </c>
      <c r="CN1613">
        <v>0</v>
      </c>
      <c r="CO1613">
        <v>6</v>
      </c>
      <c r="CP1613" t="s">
        <v>119</v>
      </c>
      <c r="CQ1613">
        <v>232</v>
      </c>
      <c r="CR1613">
        <v>2</v>
      </c>
      <c r="CW1613">
        <v>6842417</v>
      </c>
      <c r="CY1613">
        <v>1</v>
      </c>
      <c r="CZ1613">
        <v>0</v>
      </c>
      <c r="DA1613">
        <v>1</v>
      </c>
      <c r="DB1613">
        <v>0</v>
      </c>
      <c r="DC1613">
        <v>0</v>
      </c>
      <c r="DD1613">
        <v>1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>"12/16/2021 14:51:32.117"</f>
        <v>12/16/2021 14:51:32.117</v>
      </c>
      <c r="C1614" t="str">
        <f t="shared" si="79"/>
        <v>FFDFD3C0</v>
      </c>
      <c r="D1614" t="s">
        <v>133</v>
      </c>
      <c r="E1614">
        <v>44</v>
      </c>
      <c r="H1614">
        <v>131</v>
      </c>
      <c r="I1614" t="s">
        <v>134</v>
      </c>
      <c r="J1614" t="s">
        <v>135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>"14:51:31.938"</f>
        <v>14:51:31.938</v>
      </c>
      <c r="T1614" t="str">
        <f>"14:51:31.538"</f>
        <v>14:51:31.538</v>
      </c>
      <c r="U1614" t="str">
        <f t="shared" si="81"/>
        <v>A0F928</v>
      </c>
      <c r="V1614">
        <v>0</v>
      </c>
      <c r="W1614">
        <v>0</v>
      </c>
      <c r="X1614">
        <v>2</v>
      </c>
      <c r="Z1614">
        <v>0</v>
      </c>
      <c r="AA1614">
        <v>9</v>
      </c>
      <c r="AB1614">
        <v>3</v>
      </c>
      <c r="AC1614">
        <v>0</v>
      </c>
      <c r="AD1614">
        <v>10</v>
      </c>
      <c r="AE1614">
        <v>0</v>
      </c>
      <c r="AF1614">
        <v>3</v>
      </c>
      <c r="AG1614">
        <v>2</v>
      </c>
      <c r="AH1614">
        <v>1</v>
      </c>
      <c r="AI1614" t="s">
        <v>876</v>
      </c>
      <c r="AJ1614">
        <v>35.817618000000003</v>
      </c>
      <c r="AK1614" t="s">
        <v>877</v>
      </c>
      <c r="AL1614">
        <v>-84.027878999999999</v>
      </c>
      <c r="AM1614">
        <v>25</v>
      </c>
      <c r="AN1614">
        <v>1650</v>
      </c>
      <c r="AO1614" t="s">
        <v>118</v>
      </c>
      <c r="AP1614">
        <v>103</v>
      </c>
      <c r="AQ1614">
        <v>100</v>
      </c>
      <c r="AR1614">
        <v>448</v>
      </c>
      <c r="AZ1614">
        <v>300</v>
      </c>
      <c r="BA1614">
        <v>1</v>
      </c>
      <c r="BB1614" t="str">
        <f t="shared" si="80"/>
        <v xml:space="preserve">N162AM  </v>
      </c>
      <c r="BC1614">
        <v>1</v>
      </c>
      <c r="BE1614">
        <v>0</v>
      </c>
      <c r="BF1614">
        <v>0</v>
      </c>
      <c r="BG1614">
        <v>0</v>
      </c>
      <c r="BH1614">
        <v>1900</v>
      </c>
      <c r="BI1614">
        <v>1</v>
      </c>
      <c r="BJ1614">
        <v>1</v>
      </c>
      <c r="BK1614">
        <v>1</v>
      </c>
      <c r="BL1614">
        <v>0</v>
      </c>
      <c r="BO1614">
        <v>0</v>
      </c>
      <c r="BP1614">
        <v>0</v>
      </c>
      <c r="BW1614" t="str">
        <f>"14:51:31.938"</f>
        <v>14:51:31.938</v>
      </c>
      <c r="CJ1614">
        <v>3</v>
      </c>
      <c r="CK1614">
        <v>2</v>
      </c>
      <c r="CL1614">
        <v>0</v>
      </c>
      <c r="CM1614">
        <v>2</v>
      </c>
      <c r="CN1614">
        <v>0</v>
      </c>
      <c r="CO1614">
        <v>3</v>
      </c>
      <c r="CP1614" t="s">
        <v>119</v>
      </c>
      <c r="CQ1614">
        <v>216</v>
      </c>
      <c r="CR1614">
        <v>0</v>
      </c>
      <c r="CW1614">
        <v>1016603</v>
      </c>
      <c r="CY1614">
        <v>1</v>
      </c>
      <c r="CZ1614">
        <v>0</v>
      </c>
      <c r="DA1614">
        <v>0</v>
      </c>
      <c r="DB1614">
        <v>0</v>
      </c>
      <c r="DC1614">
        <v>0</v>
      </c>
      <c r="DD1614">
        <v>1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>"12/16/2021 14:51:32.164"</f>
        <v>12/16/2021 14:51:32.164</v>
      </c>
      <c r="C1615" t="str">
        <f t="shared" si="79"/>
        <v>FFDFD3C0</v>
      </c>
      <c r="D1615" t="s">
        <v>113</v>
      </c>
      <c r="E1615">
        <v>8</v>
      </c>
      <c r="H1615">
        <v>176</v>
      </c>
      <c r="I1615" t="s">
        <v>114</v>
      </c>
      <c r="J1615" t="s">
        <v>115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>"14:51:31.938"</f>
        <v>14:51:31.938</v>
      </c>
      <c r="T1615" t="str">
        <f>"14:51:31.538"</f>
        <v>14:51:31.538</v>
      </c>
      <c r="U1615" t="str">
        <f t="shared" si="81"/>
        <v>A0F928</v>
      </c>
      <c r="V1615">
        <v>0</v>
      </c>
      <c r="W1615">
        <v>0</v>
      </c>
      <c r="X1615">
        <v>2</v>
      </c>
      <c r="Z1615">
        <v>0</v>
      </c>
      <c r="AA1615">
        <v>9</v>
      </c>
      <c r="AB1615">
        <v>3</v>
      </c>
      <c r="AC1615">
        <v>0</v>
      </c>
      <c r="AD1615">
        <v>10</v>
      </c>
      <c r="AE1615">
        <v>0</v>
      </c>
      <c r="AF1615">
        <v>3</v>
      </c>
      <c r="AG1615">
        <v>2</v>
      </c>
      <c r="AH1615">
        <v>1</v>
      </c>
      <c r="AI1615" t="s">
        <v>876</v>
      </c>
      <c r="AJ1615">
        <v>35.817618000000003</v>
      </c>
      <c r="AK1615" t="s">
        <v>877</v>
      </c>
      <c r="AL1615">
        <v>-84.027878999999999</v>
      </c>
      <c r="AM1615">
        <v>25</v>
      </c>
      <c r="AN1615">
        <v>1650</v>
      </c>
      <c r="AO1615" t="s">
        <v>118</v>
      </c>
      <c r="AP1615">
        <v>103</v>
      </c>
      <c r="AQ1615">
        <v>100</v>
      </c>
      <c r="AR1615">
        <v>448</v>
      </c>
      <c r="AZ1615">
        <v>300</v>
      </c>
      <c r="BA1615">
        <v>1</v>
      </c>
      <c r="BB1615" t="str">
        <f t="shared" si="80"/>
        <v xml:space="preserve">N162AM  </v>
      </c>
      <c r="BC1615">
        <v>1</v>
      </c>
      <c r="BE1615">
        <v>0</v>
      </c>
      <c r="BF1615">
        <v>0</v>
      </c>
      <c r="BG1615">
        <v>0</v>
      </c>
      <c r="BH1615">
        <v>1900</v>
      </c>
      <c r="BI1615">
        <v>1</v>
      </c>
      <c r="BJ1615">
        <v>1</v>
      </c>
      <c r="BK1615">
        <v>1</v>
      </c>
      <c r="BL1615">
        <v>0</v>
      </c>
      <c r="BO1615">
        <v>0</v>
      </c>
      <c r="BP1615">
        <v>0</v>
      </c>
      <c r="BW1615" t="str">
        <f>"14:51:31.938"</f>
        <v>14:51:31.938</v>
      </c>
      <c r="CJ1615">
        <v>3</v>
      </c>
      <c r="CK1615">
        <v>2</v>
      </c>
      <c r="CL1615">
        <v>0</v>
      </c>
      <c r="CM1615">
        <v>2</v>
      </c>
      <c r="CN1615">
        <v>0</v>
      </c>
      <c r="CO1615">
        <v>3</v>
      </c>
      <c r="CP1615" t="s">
        <v>119</v>
      </c>
      <c r="CQ1615">
        <v>216</v>
      </c>
      <c r="CR1615">
        <v>0</v>
      </c>
      <c r="CW1615">
        <v>1016603</v>
      </c>
      <c r="CY1615">
        <v>1</v>
      </c>
      <c r="CZ1615">
        <v>0</v>
      </c>
      <c r="DA1615">
        <v>1</v>
      </c>
      <c r="DB1615">
        <v>0</v>
      </c>
      <c r="DC1615">
        <v>0</v>
      </c>
      <c r="DD1615">
        <v>1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>"12/16/2021 14:51:32.164"</f>
        <v>12/16/2021 14:51:32.164</v>
      </c>
      <c r="C1616" t="str">
        <f t="shared" si="79"/>
        <v>FFDFD3C0</v>
      </c>
      <c r="D1616" t="s">
        <v>124</v>
      </c>
      <c r="E1616">
        <v>5</v>
      </c>
      <c r="F1616">
        <v>1005</v>
      </c>
      <c r="G1616" t="s">
        <v>114</v>
      </c>
      <c r="J1616" t="s">
        <v>125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>"14:51:31.938"</f>
        <v>14:51:31.938</v>
      </c>
      <c r="T1616" t="str">
        <f>"14:51:31.538"</f>
        <v>14:51:31.538</v>
      </c>
      <c r="U1616" t="str">
        <f t="shared" si="81"/>
        <v>A0F928</v>
      </c>
      <c r="V1616">
        <v>0</v>
      </c>
      <c r="W1616">
        <v>0</v>
      </c>
      <c r="X1616">
        <v>2</v>
      </c>
      <c r="Z1616">
        <v>0</v>
      </c>
      <c r="AA1616">
        <v>9</v>
      </c>
      <c r="AB1616">
        <v>3</v>
      </c>
      <c r="AC1616">
        <v>0</v>
      </c>
      <c r="AD1616">
        <v>10</v>
      </c>
      <c r="AE1616">
        <v>0</v>
      </c>
      <c r="AF1616">
        <v>3</v>
      </c>
      <c r="AG1616">
        <v>2</v>
      </c>
      <c r="AH1616">
        <v>1</v>
      </c>
      <c r="AI1616" t="s">
        <v>876</v>
      </c>
      <c r="AJ1616">
        <v>35.817618000000003</v>
      </c>
      <c r="AK1616" t="s">
        <v>877</v>
      </c>
      <c r="AL1616">
        <v>-84.027878999999999</v>
      </c>
      <c r="AM1616">
        <v>25</v>
      </c>
      <c r="AN1616">
        <v>1650</v>
      </c>
      <c r="AO1616" t="s">
        <v>118</v>
      </c>
      <c r="AP1616">
        <v>103</v>
      </c>
      <c r="AQ1616">
        <v>100</v>
      </c>
      <c r="AR1616">
        <v>448</v>
      </c>
      <c r="AZ1616">
        <v>300</v>
      </c>
      <c r="BA1616">
        <v>1</v>
      </c>
      <c r="BB1616" t="str">
        <f t="shared" si="80"/>
        <v xml:space="preserve">N162AM  </v>
      </c>
      <c r="BC1616">
        <v>1</v>
      </c>
      <c r="BE1616">
        <v>0</v>
      </c>
      <c r="BF1616">
        <v>0</v>
      </c>
      <c r="BG1616">
        <v>0</v>
      </c>
      <c r="BH1616">
        <v>1900</v>
      </c>
      <c r="BI1616">
        <v>1</v>
      </c>
      <c r="BJ1616">
        <v>1</v>
      </c>
      <c r="BK1616">
        <v>1</v>
      </c>
      <c r="BL1616">
        <v>0</v>
      </c>
      <c r="BO1616">
        <v>0</v>
      </c>
      <c r="BP1616">
        <v>0</v>
      </c>
      <c r="BW1616" t="str">
        <f>"14:51:31.938"</f>
        <v>14:51:31.938</v>
      </c>
      <c r="CJ1616">
        <v>3</v>
      </c>
      <c r="CK1616">
        <v>2</v>
      </c>
      <c r="CL1616">
        <v>0</v>
      </c>
      <c r="CM1616">
        <v>2</v>
      </c>
      <c r="CN1616">
        <v>0</v>
      </c>
      <c r="CO1616">
        <v>3</v>
      </c>
      <c r="CP1616" t="s">
        <v>119</v>
      </c>
      <c r="CQ1616">
        <v>216</v>
      </c>
      <c r="CR1616">
        <v>0</v>
      </c>
      <c r="CW1616">
        <v>1016603</v>
      </c>
      <c r="CY1616">
        <v>1</v>
      </c>
      <c r="CZ1616">
        <v>0</v>
      </c>
      <c r="DA1616">
        <v>1</v>
      </c>
      <c r="DB1616">
        <v>0</v>
      </c>
      <c r="DC1616">
        <v>0</v>
      </c>
      <c r="DD1616">
        <v>1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>"12/16/2021 14:51:32.164"</f>
        <v>12/16/2021 14:51:32.164</v>
      </c>
      <c r="C1617" t="str">
        <f t="shared" si="79"/>
        <v>FFDFD3C0</v>
      </c>
      <c r="D1617" t="s">
        <v>124</v>
      </c>
      <c r="E1617">
        <v>10</v>
      </c>
      <c r="F1617">
        <v>1010</v>
      </c>
      <c r="G1617" t="s">
        <v>130</v>
      </c>
      <c r="J1617" t="s">
        <v>125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>"14:51:31.938"</f>
        <v>14:51:31.938</v>
      </c>
      <c r="T1617" t="str">
        <f>"14:51:31.538"</f>
        <v>14:51:31.538</v>
      </c>
      <c r="U1617" t="str">
        <f t="shared" si="81"/>
        <v>A0F928</v>
      </c>
      <c r="V1617">
        <v>0</v>
      </c>
      <c r="W1617">
        <v>0</v>
      </c>
      <c r="X1617">
        <v>2</v>
      </c>
      <c r="Z1617">
        <v>0</v>
      </c>
      <c r="AA1617">
        <v>9</v>
      </c>
      <c r="AB1617">
        <v>3</v>
      </c>
      <c r="AC1617">
        <v>0</v>
      </c>
      <c r="AD1617">
        <v>10</v>
      </c>
      <c r="AE1617">
        <v>0</v>
      </c>
      <c r="AF1617">
        <v>3</v>
      </c>
      <c r="AG1617">
        <v>2</v>
      </c>
      <c r="AH1617">
        <v>1</v>
      </c>
      <c r="AI1617" t="s">
        <v>876</v>
      </c>
      <c r="AJ1617">
        <v>35.817618000000003</v>
      </c>
      <c r="AK1617" t="s">
        <v>877</v>
      </c>
      <c r="AL1617">
        <v>-84.027878999999999</v>
      </c>
      <c r="AM1617">
        <v>25</v>
      </c>
      <c r="AN1617">
        <v>1650</v>
      </c>
      <c r="AO1617" t="s">
        <v>118</v>
      </c>
      <c r="AP1617">
        <v>103</v>
      </c>
      <c r="AQ1617">
        <v>100</v>
      </c>
      <c r="AR1617">
        <v>448</v>
      </c>
      <c r="AZ1617">
        <v>300</v>
      </c>
      <c r="BA1617">
        <v>1</v>
      </c>
      <c r="BB1617" t="str">
        <f t="shared" si="80"/>
        <v xml:space="preserve">N162AM  </v>
      </c>
      <c r="BC1617">
        <v>1</v>
      </c>
      <c r="BE1617">
        <v>0</v>
      </c>
      <c r="BF1617">
        <v>0</v>
      </c>
      <c r="BG1617">
        <v>0</v>
      </c>
      <c r="BH1617">
        <v>1900</v>
      </c>
      <c r="BI1617">
        <v>1</v>
      </c>
      <c r="BJ1617">
        <v>1</v>
      </c>
      <c r="BK1617">
        <v>1</v>
      </c>
      <c r="BL1617">
        <v>0</v>
      </c>
      <c r="BO1617">
        <v>0</v>
      </c>
      <c r="BP1617">
        <v>0</v>
      </c>
      <c r="BW1617" t="str">
        <f>"14:51:31.938"</f>
        <v>14:51:31.938</v>
      </c>
      <c r="CJ1617">
        <v>3</v>
      </c>
      <c r="CK1617">
        <v>2</v>
      </c>
      <c r="CL1617">
        <v>0</v>
      </c>
      <c r="CM1617">
        <v>2</v>
      </c>
      <c r="CN1617">
        <v>0</v>
      </c>
      <c r="CO1617">
        <v>3</v>
      </c>
      <c r="CP1617" t="s">
        <v>119</v>
      </c>
      <c r="CQ1617">
        <v>216</v>
      </c>
      <c r="CR1617">
        <v>0</v>
      </c>
      <c r="CW1617">
        <v>1016603</v>
      </c>
      <c r="CY1617">
        <v>1</v>
      </c>
      <c r="CZ1617">
        <v>0</v>
      </c>
      <c r="DA1617">
        <v>1</v>
      </c>
      <c r="DB1617">
        <v>0</v>
      </c>
      <c r="DC1617">
        <v>0</v>
      </c>
      <c r="DD1617">
        <v>1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>"12/16/2021 14:51:33.679"</f>
        <v>12/16/2021 14:51:33.679</v>
      </c>
      <c r="C1618" t="str">
        <f t="shared" si="79"/>
        <v>FFDFD3C0</v>
      </c>
      <c r="D1618" t="s">
        <v>133</v>
      </c>
      <c r="E1618">
        <v>44</v>
      </c>
      <c r="H1618">
        <v>131</v>
      </c>
      <c r="I1618" t="s">
        <v>134</v>
      </c>
      <c r="J1618" t="s">
        <v>135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"14:51:33.492"</f>
        <v>14:51:33.492</v>
      </c>
      <c r="T1618" t="str">
        <f>"14:51:33.092"</f>
        <v>14:51:33.092</v>
      </c>
      <c r="U1618" t="str">
        <f t="shared" si="81"/>
        <v>A0F928</v>
      </c>
      <c r="V1618">
        <v>0</v>
      </c>
      <c r="W1618">
        <v>0</v>
      </c>
      <c r="X1618">
        <v>2</v>
      </c>
      <c r="Z1618">
        <v>0</v>
      </c>
      <c r="AA1618">
        <v>9</v>
      </c>
      <c r="AB1618">
        <v>3</v>
      </c>
      <c r="AC1618">
        <v>0</v>
      </c>
      <c r="AD1618">
        <v>10</v>
      </c>
      <c r="AE1618">
        <v>0</v>
      </c>
      <c r="AF1618">
        <v>3</v>
      </c>
      <c r="AG1618">
        <v>2</v>
      </c>
      <c r="AH1618">
        <v>1</v>
      </c>
      <c r="AI1618" t="s">
        <v>549</v>
      </c>
      <c r="AJ1618">
        <v>35.818368999999997</v>
      </c>
      <c r="AK1618" t="s">
        <v>878</v>
      </c>
      <c r="AL1618">
        <v>-84.026934999999995</v>
      </c>
      <c r="AM1618">
        <v>25</v>
      </c>
      <c r="AN1618">
        <v>1650</v>
      </c>
      <c r="AO1618" t="s">
        <v>118</v>
      </c>
      <c r="AP1618">
        <v>103</v>
      </c>
      <c r="AQ1618">
        <v>100</v>
      </c>
      <c r="AR1618">
        <v>192</v>
      </c>
      <c r="AZ1618">
        <v>300</v>
      </c>
      <c r="BA1618">
        <v>1</v>
      </c>
      <c r="BB1618" t="str">
        <f t="shared" si="80"/>
        <v xml:space="preserve">N162AM  </v>
      </c>
      <c r="BC1618">
        <v>1</v>
      </c>
      <c r="BE1618">
        <v>0</v>
      </c>
      <c r="BF1618">
        <v>0</v>
      </c>
      <c r="BG1618">
        <v>0</v>
      </c>
      <c r="BH1618">
        <v>1925</v>
      </c>
      <c r="BI1618">
        <v>1</v>
      </c>
      <c r="BJ1618">
        <v>1</v>
      </c>
      <c r="BK1618">
        <v>1</v>
      </c>
      <c r="BL1618">
        <v>0</v>
      </c>
      <c r="BO1618">
        <v>0</v>
      </c>
      <c r="BP1618">
        <v>0</v>
      </c>
      <c r="BW1618" t="str">
        <f>"14:51:33.496"</f>
        <v>14:51:33.496</v>
      </c>
      <c r="CJ1618">
        <v>3</v>
      </c>
      <c r="CK1618">
        <v>2</v>
      </c>
      <c r="CL1618">
        <v>0</v>
      </c>
      <c r="CM1618">
        <v>2</v>
      </c>
      <c r="CN1618">
        <v>0</v>
      </c>
      <c r="CO1618">
        <v>6</v>
      </c>
      <c r="CP1618" t="s">
        <v>119</v>
      </c>
      <c r="CQ1618">
        <v>232</v>
      </c>
      <c r="CR1618">
        <v>2</v>
      </c>
      <c r="CW1618">
        <v>6846036</v>
      </c>
      <c r="CY1618">
        <v>1</v>
      </c>
      <c r="CZ1618">
        <v>0</v>
      </c>
      <c r="DA1618">
        <v>0</v>
      </c>
      <c r="DB1618">
        <v>0</v>
      </c>
      <c r="DC1618">
        <v>0</v>
      </c>
      <c r="DD1618">
        <v>1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>"12/16/2021 14:51:33.711"</f>
        <v>12/16/2021 14:51:33.711</v>
      </c>
      <c r="C1619" t="str">
        <f t="shared" si="79"/>
        <v>FFDFD3C0</v>
      </c>
      <c r="D1619" t="s">
        <v>124</v>
      </c>
      <c r="E1619">
        <v>10</v>
      </c>
      <c r="F1619">
        <v>1010</v>
      </c>
      <c r="G1619" t="s">
        <v>130</v>
      </c>
      <c r="J1619" t="s">
        <v>125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"14:51:33.492"</f>
        <v>14:51:33.492</v>
      </c>
      <c r="T1619" t="str">
        <f>"14:51:33.092"</f>
        <v>14:51:33.092</v>
      </c>
      <c r="U1619" t="str">
        <f t="shared" si="81"/>
        <v>A0F928</v>
      </c>
      <c r="V1619">
        <v>0</v>
      </c>
      <c r="W1619">
        <v>0</v>
      </c>
      <c r="X1619">
        <v>2</v>
      </c>
      <c r="Z1619">
        <v>0</v>
      </c>
      <c r="AA1619">
        <v>9</v>
      </c>
      <c r="AB1619">
        <v>3</v>
      </c>
      <c r="AC1619">
        <v>0</v>
      </c>
      <c r="AD1619">
        <v>10</v>
      </c>
      <c r="AE1619">
        <v>0</v>
      </c>
      <c r="AF1619">
        <v>3</v>
      </c>
      <c r="AG1619">
        <v>2</v>
      </c>
      <c r="AH1619">
        <v>1</v>
      </c>
      <c r="AI1619" t="s">
        <v>549</v>
      </c>
      <c r="AJ1619">
        <v>35.818368999999997</v>
      </c>
      <c r="AK1619" t="s">
        <v>878</v>
      </c>
      <c r="AL1619">
        <v>-84.026934999999995</v>
      </c>
      <c r="AM1619">
        <v>25</v>
      </c>
      <c r="AN1619">
        <v>1650</v>
      </c>
      <c r="AO1619" t="s">
        <v>118</v>
      </c>
      <c r="AP1619">
        <v>103</v>
      </c>
      <c r="AQ1619">
        <v>100</v>
      </c>
      <c r="AR1619">
        <v>192</v>
      </c>
      <c r="AZ1619">
        <v>300</v>
      </c>
      <c r="BA1619">
        <v>1</v>
      </c>
      <c r="BB1619" t="str">
        <f t="shared" si="80"/>
        <v xml:space="preserve">N162AM  </v>
      </c>
      <c r="BC1619">
        <v>1</v>
      </c>
      <c r="BE1619">
        <v>0</v>
      </c>
      <c r="BF1619">
        <v>0</v>
      </c>
      <c r="BG1619">
        <v>0</v>
      </c>
      <c r="BH1619">
        <v>1925</v>
      </c>
      <c r="BI1619">
        <v>1</v>
      </c>
      <c r="BJ1619">
        <v>1</v>
      </c>
      <c r="BK1619">
        <v>1</v>
      </c>
      <c r="BL1619">
        <v>0</v>
      </c>
      <c r="BO1619">
        <v>0</v>
      </c>
      <c r="BP1619">
        <v>0</v>
      </c>
      <c r="BW1619" t="str">
        <f>"14:51:33.496"</f>
        <v>14:51:33.496</v>
      </c>
      <c r="CJ1619">
        <v>3</v>
      </c>
      <c r="CK1619">
        <v>2</v>
      </c>
      <c r="CL1619">
        <v>0</v>
      </c>
      <c r="CM1619">
        <v>2</v>
      </c>
      <c r="CN1619">
        <v>0</v>
      </c>
      <c r="CO1619">
        <v>6</v>
      </c>
      <c r="CP1619" t="s">
        <v>119</v>
      </c>
      <c r="CQ1619">
        <v>232</v>
      </c>
      <c r="CR1619">
        <v>2</v>
      </c>
      <c r="CW1619">
        <v>6846036</v>
      </c>
      <c r="CY1619">
        <v>1</v>
      </c>
      <c r="CZ1619">
        <v>0</v>
      </c>
      <c r="DA1619">
        <v>1</v>
      </c>
      <c r="DB1619">
        <v>0</v>
      </c>
      <c r="DC1619">
        <v>0</v>
      </c>
      <c r="DD1619">
        <v>1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>"12/16/2021 14:51:33.711"</f>
        <v>12/16/2021 14:51:33.711</v>
      </c>
      <c r="C1620" t="str">
        <f t="shared" si="79"/>
        <v>FFDFD3C0</v>
      </c>
      <c r="D1620" t="s">
        <v>124</v>
      </c>
      <c r="E1620">
        <v>5</v>
      </c>
      <c r="F1620">
        <v>1005</v>
      </c>
      <c r="G1620" t="s">
        <v>114</v>
      </c>
      <c r="J1620" t="s">
        <v>125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"14:51:33.492"</f>
        <v>14:51:33.492</v>
      </c>
      <c r="T1620" t="str">
        <f>"14:51:33.092"</f>
        <v>14:51:33.092</v>
      </c>
      <c r="U1620" t="str">
        <f t="shared" si="81"/>
        <v>A0F928</v>
      </c>
      <c r="V1620">
        <v>0</v>
      </c>
      <c r="W1620">
        <v>0</v>
      </c>
      <c r="X1620">
        <v>2</v>
      </c>
      <c r="Z1620">
        <v>0</v>
      </c>
      <c r="AA1620">
        <v>9</v>
      </c>
      <c r="AB1620">
        <v>3</v>
      </c>
      <c r="AC1620">
        <v>0</v>
      </c>
      <c r="AD1620">
        <v>10</v>
      </c>
      <c r="AE1620">
        <v>0</v>
      </c>
      <c r="AF1620">
        <v>3</v>
      </c>
      <c r="AG1620">
        <v>2</v>
      </c>
      <c r="AH1620">
        <v>1</v>
      </c>
      <c r="AI1620" t="s">
        <v>549</v>
      </c>
      <c r="AJ1620">
        <v>35.818368999999997</v>
      </c>
      <c r="AK1620" t="s">
        <v>878</v>
      </c>
      <c r="AL1620">
        <v>-84.026934999999995</v>
      </c>
      <c r="AM1620">
        <v>25</v>
      </c>
      <c r="AN1620">
        <v>1650</v>
      </c>
      <c r="AO1620" t="s">
        <v>118</v>
      </c>
      <c r="AP1620">
        <v>103</v>
      </c>
      <c r="AQ1620">
        <v>100</v>
      </c>
      <c r="AR1620">
        <v>192</v>
      </c>
      <c r="AZ1620">
        <v>300</v>
      </c>
      <c r="BA1620">
        <v>1</v>
      </c>
      <c r="BB1620" t="str">
        <f t="shared" si="80"/>
        <v xml:space="preserve">N162AM  </v>
      </c>
      <c r="BC1620">
        <v>1</v>
      </c>
      <c r="BE1620">
        <v>0</v>
      </c>
      <c r="BF1620">
        <v>0</v>
      </c>
      <c r="BG1620">
        <v>0</v>
      </c>
      <c r="BH1620">
        <v>1925</v>
      </c>
      <c r="BI1620">
        <v>1</v>
      </c>
      <c r="BJ1620">
        <v>1</v>
      </c>
      <c r="BK1620">
        <v>1</v>
      </c>
      <c r="BL1620">
        <v>0</v>
      </c>
      <c r="BO1620">
        <v>0</v>
      </c>
      <c r="BP1620">
        <v>0</v>
      </c>
      <c r="BW1620" t="str">
        <f>"14:51:33.496"</f>
        <v>14:51:33.496</v>
      </c>
      <c r="CJ1620">
        <v>3</v>
      </c>
      <c r="CK1620">
        <v>2</v>
      </c>
      <c r="CL1620">
        <v>0</v>
      </c>
      <c r="CM1620">
        <v>2</v>
      </c>
      <c r="CN1620">
        <v>0</v>
      </c>
      <c r="CO1620">
        <v>6</v>
      </c>
      <c r="CP1620" t="s">
        <v>119</v>
      </c>
      <c r="CQ1620">
        <v>232</v>
      </c>
      <c r="CR1620">
        <v>2</v>
      </c>
      <c r="CW1620">
        <v>6846036</v>
      </c>
      <c r="CY1620">
        <v>1</v>
      </c>
      <c r="CZ1620">
        <v>0</v>
      </c>
      <c r="DA1620">
        <v>1</v>
      </c>
      <c r="DB1620">
        <v>0</v>
      </c>
      <c r="DC1620">
        <v>0</v>
      </c>
      <c r="DD1620">
        <v>1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>"12/16/2021 14:51:33.711"</f>
        <v>12/16/2021 14:51:33.711</v>
      </c>
      <c r="C1621" t="str">
        <f t="shared" si="79"/>
        <v>FFDFD3C0</v>
      </c>
      <c r="D1621" t="s">
        <v>113</v>
      </c>
      <c r="E1621">
        <v>8</v>
      </c>
      <c r="H1621">
        <v>176</v>
      </c>
      <c r="I1621" t="s">
        <v>114</v>
      </c>
      <c r="J1621" t="s">
        <v>115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"14:51:33.492"</f>
        <v>14:51:33.492</v>
      </c>
      <c r="T1621" t="str">
        <f>"14:51:33.092"</f>
        <v>14:51:33.092</v>
      </c>
      <c r="U1621" t="str">
        <f t="shared" si="81"/>
        <v>A0F928</v>
      </c>
      <c r="V1621">
        <v>0</v>
      </c>
      <c r="W1621">
        <v>0</v>
      </c>
      <c r="X1621">
        <v>2</v>
      </c>
      <c r="Z1621">
        <v>0</v>
      </c>
      <c r="AA1621">
        <v>9</v>
      </c>
      <c r="AB1621">
        <v>3</v>
      </c>
      <c r="AC1621">
        <v>0</v>
      </c>
      <c r="AD1621">
        <v>10</v>
      </c>
      <c r="AE1621">
        <v>0</v>
      </c>
      <c r="AF1621">
        <v>3</v>
      </c>
      <c r="AG1621">
        <v>2</v>
      </c>
      <c r="AH1621">
        <v>1</v>
      </c>
      <c r="AI1621" t="s">
        <v>549</v>
      </c>
      <c r="AJ1621">
        <v>35.818368999999997</v>
      </c>
      <c r="AK1621" t="s">
        <v>878</v>
      </c>
      <c r="AL1621">
        <v>-84.026934999999995</v>
      </c>
      <c r="AM1621">
        <v>25</v>
      </c>
      <c r="AN1621">
        <v>1650</v>
      </c>
      <c r="AO1621" t="s">
        <v>118</v>
      </c>
      <c r="AP1621">
        <v>103</v>
      </c>
      <c r="AQ1621">
        <v>100</v>
      </c>
      <c r="AR1621">
        <v>192</v>
      </c>
      <c r="AZ1621">
        <v>300</v>
      </c>
      <c r="BA1621">
        <v>1</v>
      </c>
      <c r="BB1621" t="str">
        <f t="shared" si="80"/>
        <v xml:space="preserve">N162AM  </v>
      </c>
      <c r="BC1621">
        <v>1</v>
      </c>
      <c r="BE1621">
        <v>0</v>
      </c>
      <c r="BF1621">
        <v>0</v>
      </c>
      <c r="BG1621">
        <v>0</v>
      </c>
      <c r="BH1621">
        <v>1925</v>
      </c>
      <c r="BI1621">
        <v>1</v>
      </c>
      <c r="BJ1621">
        <v>1</v>
      </c>
      <c r="BK1621">
        <v>1</v>
      </c>
      <c r="BL1621">
        <v>0</v>
      </c>
      <c r="BO1621">
        <v>0</v>
      </c>
      <c r="BP1621">
        <v>0</v>
      </c>
      <c r="BW1621" t="str">
        <f>"14:51:33.496"</f>
        <v>14:51:33.496</v>
      </c>
      <c r="CJ1621">
        <v>3</v>
      </c>
      <c r="CK1621">
        <v>2</v>
      </c>
      <c r="CL1621">
        <v>0</v>
      </c>
      <c r="CM1621">
        <v>2</v>
      </c>
      <c r="CN1621">
        <v>0</v>
      </c>
      <c r="CO1621">
        <v>6</v>
      </c>
      <c r="CP1621" t="s">
        <v>119</v>
      </c>
      <c r="CQ1621">
        <v>232</v>
      </c>
      <c r="CR1621">
        <v>2</v>
      </c>
      <c r="CW1621">
        <v>6846036</v>
      </c>
      <c r="CY1621">
        <v>1</v>
      </c>
      <c r="CZ1621">
        <v>0</v>
      </c>
      <c r="DA1621">
        <v>1</v>
      </c>
      <c r="DB1621">
        <v>0</v>
      </c>
      <c r="DC1621">
        <v>0</v>
      </c>
      <c r="DD1621">
        <v>1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>"12/16/2021 14:51:34.664"</f>
        <v>12/16/2021 14:51:34.664</v>
      </c>
      <c r="C1622" t="str">
        <f t="shared" si="79"/>
        <v>FFDFD3C0</v>
      </c>
      <c r="D1622" t="s">
        <v>133</v>
      </c>
      <c r="E1622">
        <v>44</v>
      </c>
      <c r="H1622">
        <v>131</v>
      </c>
      <c r="I1622" t="s">
        <v>134</v>
      </c>
      <c r="J1622" t="s">
        <v>135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"14:51:34.430"</f>
        <v>14:51:34.430</v>
      </c>
      <c r="T1622" t="str">
        <f>"14:51:34.030"</f>
        <v>14:51:34.030</v>
      </c>
      <c r="U1622" t="str">
        <f t="shared" si="81"/>
        <v>A0F928</v>
      </c>
      <c r="V1622">
        <v>0</v>
      </c>
      <c r="W1622">
        <v>0</v>
      </c>
      <c r="X1622">
        <v>2</v>
      </c>
      <c r="Z1622">
        <v>0</v>
      </c>
      <c r="AA1622">
        <v>9</v>
      </c>
      <c r="AB1622">
        <v>3</v>
      </c>
      <c r="AC1622">
        <v>0</v>
      </c>
      <c r="AD1622">
        <v>10</v>
      </c>
      <c r="AE1622">
        <v>0</v>
      </c>
      <c r="AF1622">
        <v>3</v>
      </c>
      <c r="AG1622">
        <v>2</v>
      </c>
      <c r="AH1622">
        <v>1</v>
      </c>
      <c r="AI1622" t="s">
        <v>879</v>
      </c>
      <c r="AJ1622">
        <v>35.818776999999997</v>
      </c>
      <c r="AK1622" t="s">
        <v>880</v>
      </c>
      <c r="AL1622">
        <v>-84.026420000000002</v>
      </c>
      <c r="AM1622">
        <v>25</v>
      </c>
      <c r="AN1622">
        <v>1650</v>
      </c>
      <c r="AO1622" t="s">
        <v>118</v>
      </c>
      <c r="AP1622">
        <v>103</v>
      </c>
      <c r="AQ1622">
        <v>100</v>
      </c>
      <c r="AR1622">
        <v>128</v>
      </c>
      <c r="AZ1622">
        <v>300</v>
      </c>
      <c r="BA1622">
        <v>1</v>
      </c>
      <c r="BB1622" t="str">
        <f t="shared" si="80"/>
        <v xml:space="preserve">N162AM  </v>
      </c>
      <c r="BC1622">
        <v>1</v>
      </c>
      <c r="BE1622">
        <v>0</v>
      </c>
      <c r="BF1622">
        <v>0</v>
      </c>
      <c r="BG1622">
        <v>0</v>
      </c>
      <c r="BH1622">
        <v>1925</v>
      </c>
      <c r="BI1622">
        <v>1</v>
      </c>
      <c r="BJ1622">
        <v>1</v>
      </c>
      <c r="BK1622">
        <v>1</v>
      </c>
      <c r="BL1622">
        <v>0</v>
      </c>
      <c r="BO1622">
        <v>0</v>
      </c>
      <c r="BP1622">
        <v>0</v>
      </c>
      <c r="BW1622" t="str">
        <f>"14:51:34.430"</f>
        <v>14:51:34.430</v>
      </c>
      <c r="CJ1622">
        <v>3</v>
      </c>
      <c r="CK1622">
        <v>2</v>
      </c>
      <c r="CL1622">
        <v>0</v>
      </c>
      <c r="CM1622">
        <v>2</v>
      </c>
      <c r="CN1622">
        <v>0</v>
      </c>
      <c r="CO1622">
        <v>7</v>
      </c>
      <c r="CP1622" t="s">
        <v>119</v>
      </c>
      <c r="CQ1622">
        <v>232</v>
      </c>
      <c r="CR1622">
        <v>2</v>
      </c>
      <c r="CW1622">
        <v>6847445</v>
      </c>
      <c r="CY1622">
        <v>1</v>
      </c>
      <c r="CZ1622">
        <v>0</v>
      </c>
      <c r="DA1622">
        <v>0</v>
      </c>
      <c r="DB1622">
        <v>0</v>
      </c>
      <c r="DC1622">
        <v>0</v>
      </c>
      <c r="DD1622">
        <v>1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>"12/16/2021 14:51:34.664"</f>
        <v>12/16/2021 14:51:34.664</v>
      </c>
      <c r="C1623" t="str">
        <f t="shared" si="79"/>
        <v>FFDFD3C0</v>
      </c>
      <c r="D1623" t="s">
        <v>124</v>
      </c>
      <c r="E1623">
        <v>10</v>
      </c>
      <c r="F1623">
        <v>1010</v>
      </c>
      <c r="G1623" t="s">
        <v>130</v>
      </c>
      <c r="J1623" t="s">
        <v>125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"14:51:34.430"</f>
        <v>14:51:34.430</v>
      </c>
      <c r="T1623" t="str">
        <f>"14:51:34.030"</f>
        <v>14:51:34.030</v>
      </c>
      <c r="U1623" t="str">
        <f t="shared" si="81"/>
        <v>A0F928</v>
      </c>
      <c r="V1623">
        <v>0</v>
      </c>
      <c r="W1623">
        <v>0</v>
      </c>
      <c r="X1623">
        <v>2</v>
      </c>
      <c r="Z1623">
        <v>0</v>
      </c>
      <c r="AA1623">
        <v>9</v>
      </c>
      <c r="AB1623">
        <v>3</v>
      </c>
      <c r="AC1623">
        <v>0</v>
      </c>
      <c r="AD1623">
        <v>10</v>
      </c>
      <c r="AE1623">
        <v>0</v>
      </c>
      <c r="AF1623">
        <v>3</v>
      </c>
      <c r="AG1623">
        <v>2</v>
      </c>
      <c r="AH1623">
        <v>1</v>
      </c>
      <c r="AI1623" t="s">
        <v>879</v>
      </c>
      <c r="AJ1623">
        <v>35.818776999999997</v>
      </c>
      <c r="AK1623" t="s">
        <v>880</v>
      </c>
      <c r="AL1623">
        <v>-84.026420000000002</v>
      </c>
      <c r="AM1623">
        <v>25</v>
      </c>
      <c r="AN1623">
        <v>1650</v>
      </c>
      <c r="AO1623" t="s">
        <v>118</v>
      </c>
      <c r="AP1623">
        <v>103</v>
      </c>
      <c r="AQ1623">
        <v>100</v>
      </c>
      <c r="AR1623">
        <v>128</v>
      </c>
      <c r="AZ1623">
        <v>300</v>
      </c>
      <c r="BA1623">
        <v>1</v>
      </c>
      <c r="BB1623" t="str">
        <f t="shared" si="80"/>
        <v xml:space="preserve">N162AM  </v>
      </c>
      <c r="BC1623">
        <v>1</v>
      </c>
      <c r="BE1623">
        <v>0</v>
      </c>
      <c r="BF1623">
        <v>0</v>
      </c>
      <c r="BG1623">
        <v>0</v>
      </c>
      <c r="BH1623">
        <v>1925</v>
      </c>
      <c r="BI1623">
        <v>1</v>
      </c>
      <c r="BJ1623">
        <v>1</v>
      </c>
      <c r="BK1623">
        <v>1</v>
      </c>
      <c r="BL1623">
        <v>0</v>
      </c>
      <c r="BO1623">
        <v>0</v>
      </c>
      <c r="BP1623">
        <v>0</v>
      </c>
      <c r="BW1623" t="str">
        <f>"14:51:34.430"</f>
        <v>14:51:34.430</v>
      </c>
      <c r="CJ1623">
        <v>3</v>
      </c>
      <c r="CK1623">
        <v>2</v>
      </c>
      <c r="CL1623">
        <v>0</v>
      </c>
      <c r="CM1623">
        <v>2</v>
      </c>
      <c r="CN1623">
        <v>0</v>
      </c>
      <c r="CO1623">
        <v>7</v>
      </c>
      <c r="CP1623" t="s">
        <v>119</v>
      </c>
      <c r="CQ1623">
        <v>232</v>
      </c>
      <c r="CR1623">
        <v>2</v>
      </c>
      <c r="CW1623">
        <v>6847445</v>
      </c>
      <c r="CY1623">
        <v>1</v>
      </c>
      <c r="CZ1623">
        <v>0</v>
      </c>
      <c r="DA1623">
        <v>1</v>
      </c>
      <c r="DB1623">
        <v>0</v>
      </c>
      <c r="DC1623">
        <v>0</v>
      </c>
      <c r="DD1623">
        <v>1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>"12/16/2021 14:51:34.664"</f>
        <v>12/16/2021 14:51:34.664</v>
      </c>
      <c r="C1624" t="str">
        <f t="shared" si="79"/>
        <v>FFDFD3C0</v>
      </c>
      <c r="D1624" t="s">
        <v>124</v>
      </c>
      <c r="E1624">
        <v>5</v>
      </c>
      <c r="F1624">
        <v>1005</v>
      </c>
      <c r="G1624" t="s">
        <v>114</v>
      </c>
      <c r="J1624" t="s">
        <v>125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>"14:51:34.430"</f>
        <v>14:51:34.430</v>
      </c>
      <c r="T1624" t="str">
        <f>"14:51:34.030"</f>
        <v>14:51:34.030</v>
      </c>
      <c r="U1624" t="str">
        <f t="shared" si="81"/>
        <v>A0F928</v>
      </c>
      <c r="V1624">
        <v>0</v>
      </c>
      <c r="W1624">
        <v>0</v>
      </c>
      <c r="X1624">
        <v>2</v>
      </c>
      <c r="Z1624">
        <v>0</v>
      </c>
      <c r="AA1624">
        <v>9</v>
      </c>
      <c r="AB1624">
        <v>3</v>
      </c>
      <c r="AC1624">
        <v>0</v>
      </c>
      <c r="AD1624">
        <v>10</v>
      </c>
      <c r="AE1624">
        <v>0</v>
      </c>
      <c r="AF1624">
        <v>3</v>
      </c>
      <c r="AG1624">
        <v>2</v>
      </c>
      <c r="AH1624">
        <v>1</v>
      </c>
      <c r="AI1624" t="s">
        <v>879</v>
      </c>
      <c r="AJ1624">
        <v>35.818776999999997</v>
      </c>
      <c r="AK1624" t="s">
        <v>880</v>
      </c>
      <c r="AL1624">
        <v>-84.026420000000002</v>
      </c>
      <c r="AM1624">
        <v>25</v>
      </c>
      <c r="AN1624">
        <v>1650</v>
      </c>
      <c r="AO1624" t="s">
        <v>118</v>
      </c>
      <c r="AP1624">
        <v>103</v>
      </c>
      <c r="AQ1624">
        <v>100</v>
      </c>
      <c r="AR1624">
        <v>128</v>
      </c>
      <c r="AZ1624">
        <v>300</v>
      </c>
      <c r="BA1624">
        <v>1</v>
      </c>
      <c r="BB1624" t="str">
        <f t="shared" si="80"/>
        <v xml:space="preserve">N162AM  </v>
      </c>
      <c r="BC1624">
        <v>1</v>
      </c>
      <c r="BE1624">
        <v>0</v>
      </c>
      <c r="BF1624">
        <v>0</v>
      </c>
      <c r="BG1624">
        <v>0</v>
      </c>
      <c r="BH1624">
        <v>1925</v>
      </c>
      <c r="BI1624">
        <v>1</v>
      </c>
      <c r="BJ1624">
        <v>1</v>
      </c>
      <c r="BK1624">
        <v>1</v>
      </c>
      <c r="BL1624">
        <v>0</v>
      </c>
      <c r="BO1624">
        <v>0</v>
      </c>
      <c r="BP1624">
        <v>0</v>
      </c>
      <c r="BW1624" t="str">
        <f>"14:51:34.430"</f>
        <v>14:51:34.430</v>
      </c>
      <c r="CJ1624">
        <v>3</v>
      </c>
      <c r="CK1624">
        <v>2</v>
      </c>
      <c r="CL1624">
        <v>0</v>
      </c>
      <c r="CM1624">
        <v>2</v>
      </c>
      <c r="CN1624">
        <v>0</v>
      </c>
      <c r="CO1624">
        <v>7</v>
      </c>
      <c r="CP1624" t="s">
        <v>119</v>
      </c>
      <c r="CQ1624">
        <v>232</v>
      </c>
      <c r="CR1624">
        <v>2</v>
      </c>
      <c r="CW1624">
        <v>6847445</v>
      </c>
      <c r="CY1624">
        <v>1</v>
      </c>
      <c r="CZ1624">
        <v>0</v>
      </c>
      <c r="DA1624">
        <v>1</v>
      </c>
      <c r="DB1624">
        <v>0</v>
      </c>
      <c r="DC1624">
        <v>0</v>
      </c>
      <c r="DD1624">
        <v>1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>"12/16/2021 14:51:34.664"</f>
        <v>12/16/2021 14:51:34.664</v>
      </c>
      <c r="C1625" t="str">
        <f t="shared" si="79"/>
        <v>FFDFD3C0</v>
      </c>
      <c r="D1625" t="s">
        <v>113</v>
      </c>
      <c r="E1625">
        <v>8</v>
      </c>
      <c r="H1625">
        <v>176</v>
      </c>
      <c r="I1625" t="s">
        <v>114</v>
      </c>
      <c r="J1625" t="s">
        <v>115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>"14:51:34.430"</f>
        <v>14:51:34.430</v>
      </c>
      <c r="T1625" t="str">
        <f>"14:51:34.030"</f>
        <v>14:51:34.030</v>
      </c>
      <c r="U1625" t="str">
        <f t="shared" si="81"/>
        <v>A0F928</v>
      </c>
      <c r="V1625">
        <v>0</v>
      </c>
      <c r="W1625">
        <v>0</v>
      </c>
      <c r="X1625">
        <v>2</v>
      </c>
      <c r="Z1625">
        <v>0</v>
      </c>
      <c r="AA1625">
        <v>9</v>
      </c>
      <c r="AB1625">
        <v>3</v>
      </c>
      <c r="AC1625">
        <v>0</v>
      </c>
      <c r="AD1625">
        <v>10</v>
      </c>
      <c r="AE1625">
        <v>0</v>
      </c>
      <c r="AF1625">
        <v>3</v>
      </c>
      <c r="AG1625">
        <v>2</v>
      </c>
      <c r="AH1625">
        <v>1</v>
      </c>
      <c r="AI1625" t="s">
        <v>879</v>
      </c>
      <c r="AJ1625">
        <v>35.818776999999997</v>
      </c>
      <c r="AK1625" t="s">
        <v>880</v>
      </c>
      <c r="AL1625">
        <v>-84.026420000000002</v>
      </c>
      <c r="AM1625">
        <v>25</v>
      </c>
      <c r="AN1625">
        <v>1650</v>
      </c>
      <c r="AO1625" t="s">
        <v>118</v>
      </c>
      <c r="AP1625">
        <v>103</v>
      </c>
      <c r="AQ1625">
        <v>100</v>
      </c>
      <c r="AR1625">
        <v>128</v>
      </c>
      <c r="AZ1625">
        <v>300</v>
      </c>
      <c r="BA1625">
        <v>1</v>
      </c>
      <c r="BB1625" t="str">
        <f t="shared" si="80"/>
        <v xml:space="preserve">N162AM  </v>
      </c>
      <c r="BC1625">
        <v>1</v>
      </c>
      <c r="BE1625">
        <v>0</v>
      </c>
      <c r="BF1625">
        <v>0</v>
      </c>
      <c r="BG1625">
        <v>0</v>
      </c>
      <c r="BH1625">
        <v>1925</v>
      </c>
      <c r="BI1625">
        <v>1</v>
      </c>
      <c r="BJ1625">
        <v>1</v>
      </c>
      <c r="BK1625">
        <v>1</v>
      </c>
      <c r="BL1625">
        <v>0</v>
      </c>
      <c r="BO1625">
        <v>0</v>
      </c>
      <c r="BP1625">
        <v>0</v>
      </c>
      <c r="BW1625" t="str">
        <f>"14:51:34.430"</f>
        <v>14:51:34.430</v>
      </c>
      <c r="CJ1625">
        <v>3</v>
      </c>
      <c r="CK1625">
        <v>2</v>
      </c>
      <c r="CL1625">
        <v>0</v>
      </c>
      <c r="CM1625">
        <v>2</v>
      </c>
      <c r="CN1625">
        <v>0</v>
      </c>
      <c r="CO1625">
        <v>7</v>
      </c>
      <c r="CP1625" t="s">
        <v>119</v>
      </c>
      <c r="CQ1625">
        <v>232</v>
      </c>
      <c r="CR1625">
        <v>2</v>
      </c>
      <c r="CW1625">
        <v>6847445</v>
      </c>
      <c r="CY1625">
        <v>1</v>
      </c>
      <c r="CZ1625">
        <v>0</v>
      </c>
      <c r="DA1625">
        <v>1</v>
      </c>
      <c r="DB1625">
        <v>0</v>
      </c>
      <c r="DC1625">
        <v>0</v>
      </c>
      <c r="DD1625">
        <v>1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>"12/16/2021 14:51:35.898"</f>
        <v>12/16/2021 14:51:35.898</v>
      </c>
      <c r="C1626" t="str">
        <f t="shared" si="79"/>
        <v>FFDFD3C0</v>
      </c>
      <c r="D1626" t="s">
        <v>133</v>
      </c>
      <c r="E1626">
        <v>44</v>
      </c>
      <c r="H1626">
        <v>131</v>
      </c>
      <c r="I1626" t="s">
        <v>134</v>
      </c>
      <c r="J1626" t="s">
        <v>135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"14:51:35.703"</f>
        <v>14:51:35.703</v>
      </c>
      <c r="T1626" t="str">
        <f>"14:51:35.303"</f>
        <v>14:51:35.303</v>
      </c>
      <c r="U1626" t="str">
        <f t="shared" si="81"/>
        <v>A0F928</v>
      </c>
      <c r="V1626">
        <v>0</v>
      </c>
      <c r="W1626">
        <v>0</v>
      </c>
      <c r="X1626">
        <v>2</v>
      </c>
      <c r="Z1626">
        <v>0</v>
      </c>
      <c r="AA1626">
        <v>9</v>
      </c>
      <c r="AB1626">
        <v>3</v>
      </c>
      <c r="AC1626">
        <v>0</v>
      </c>
      <c r="AD1626">
        <v>10</v>
      </c>
      <c r="AE1626">
        <v>0</v>
      </c>
      <c r="AF1626">
        <v>3</v>
      </c>
      <c r="AG1626">
        <v>2</v>
      </c>
      <c r="AH1626">
        <v>1</v>
      </c>
      <c r="AI1626" t="s">
        <v>881</v>
      </c>
      <c r="AJ1626">
        <v>35.819335000000002</v>
      </c>
      <c r="AK1626" t="s">
        <v>882</v>
      </c>
      <c r="AL1626">
        <v>-84.025648000000004</v>
      </c>
      <c r="AM1626">
        <v>25</v>
      </c>
      <c r="AN1626">
        <v>1650</v>
      </c>
      <c r="AO1626" t="s">
        <v>118</v>
      </c>
      <c r="AP1626">
        <v>103</v>
      </c>
      <c r="AQ1626">
        <v>99</v>
      </c>
      <c r="AR1626">
        <v>0</v>
      </c>
      <c r="AZ1626">
        <v>300</v>
      </c>
      <c r="BA1626">
        <v>1</v>
      </c>
      <c r="BB1626" t="str">
        <f t="shared" si="80"/>
        <v xml:space="preserve">N162AM  </v>
      </c>
      <c r="BC1626">
        <v>1</v>
      </c>
      <c r="BE1626">
        <v>0</v>
      </c>
      <c r="BF1626">
        <v>0</v>
      </c>
      <c r="BG1626">
        <v>0</v>
      </c>
      <c r="BH1626">
        <v>1925</v>
      </c>
      <c r="BI1626">
        <v>1</v>
      </c>
      <c r="BJ1626">
        <v>1</v>
      </c>
      <c r="BK1626">
        <v>1</v>
      </c>
      <c r="BL1626">
        <v>0</v>
      </c>
      <c r="BO1626">
        <v>0</v>
      </c>
      <c r="BP1626">
        <v>0</v>
      </c>
      <c r="BW1626" t="str">
        <f>"14:51:35.710"</f>
        <v>14:51:35.710</v>
      </c>
      <c r="CJ1626">
        <v>3</v>
      </c>
      <c r="CK1626">
        <v>2</v>
      </c>
      <c r="CL1626">
        <v>0</v>
      </c>
      <c r="CM1626">
        <v>2</v>
      </c>
      <c r="CN1626">
        <v>0</v>
      </c>
      <c r="CO1626">
        <v>7</v>
      </c>
      <c r="CP1626" t="s">
        <v>119</v>
      </c>
      <c r="CQ1626">
        <v>232</v>
      </c>
      <c r="CR1626">
        <v>2</v>
      </c>
      <c r="CW1626">
        <v>6849492</v>
      </c>
      <c r="CY1626">
        <v>1</v>
      </c>
      <c r="CZ1626">
        <v>0</v>
      </c>
      <c r="DA1626">
        <v>0</v>
      </c>
      <c r="DB1626">
        <v>0</v>
      </c>
      <c r="DC1626">
        <v>0</v>
      </c>
      <c r="DD1626">
        <v>1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>"12/16/2021 14:51:35.898"</f>
        <v>12/16/2021 14:51:35.898</v>
      </c>
      <c r="C1627" t="str">
        <f t="shared" si="79"/>
        <v>FFDFD3C0</v>
      </c>
      <c r="D1627" t="s">
        <v>124</v>
      </c>
      <c r="E1627">
        <v>10</v>
      </c>
      <c r="F1627">
        <v>1010</v>
      </c>
      <c r="G1627" t="s">
        <v>130</v>
      </c>
      <c r="J1627" t="s">
        <v>125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"14:51:35.703"</f>
        <v>14:51:35.703</v>
      </c>
      <c r="T1627" t="str">
        <f>"14:51:35.303"</f>
        <v>14:51:35.303</v>
      </c>
      <c r="U1627" t="str">
        <f t="shared" si="81"/>
        <v>A0F928</v>
      </c>
      <c r="V1627">
        <v>0</v>
      </c>
      <c r="W1627">
        <v>0</v>
      </c>
      <c r="X1627">
        <v>2</v>
      </c>
      <c r="Z1627">
        <v>0</v>
      </c>
      <c r="AA1627">
        <v>9</v>
      </c>
      <c r="AB1627">
        <v>3</v>
      </c>
      <c r="AC1627">
        <v>0</v>
      </c>
      <c r="AD1627">
        <v>10</v>
      </c>
      <c r="AE1627">
        <v>0</v>
      </c>
      <c r="AF1627">
        <v>3</v>
      </c>
      <c r="AG1627">
        <v>2</v>
      </c>
      <c r="AH1627">
        <v>1</v>
      </c>
      <c r="AI1627" t="s">
        <v>881</v>
      </c>
      <c r="AJ1627">
        <v>35.819335000000002</v>
      </c>
      <c r="AK1627" t="s">
        <v>882</v>
      </c>
      <c r="AL1627">
        <v>-84.025648000000004</v>
      </c>
      <c r="AM1627">
        <v>25</v>
      </c>
      <c r="AN1627">
        <v>1650</v>
      </c>
      <c r="AO1627" t="s">
        <v>118</v>
      </c>
      <c r="AP1627">
        <v>103</v>
      </c>
      <c r="AQ1627">
        <v>99</v>
      </c>
      <c r="AR1627">
        <v>0</v>
      </c>
      <c r="AZ1627">
        <v>300</v>
      </c>
      <c r="BA1627">
        <v>1</v>
      </c>
      <c r="BB1627" t="str">
        <f t="shared" si="80"/>
        <v xml:space="preserve">N162AM  </v>
      </c>
      <c r="BC1627">
        <v>1</v>
      </c>
      <c r="BE1627">
        <v>0</v>
      </c>
      <c r="BF1627">
        <v>0</v>
      </c>
      <c r="BG1627">
        <v>0</v>
      </c>
      <c r="BH1627">
        <v>1925</v>
      </c>
      <c r="BI1627">
        <v>1</v>
      </c>
      <c r="BJ1627">
        <v>1</v>
      </c>
      <c r="BK1627">
        <v>1</v>
      </c>
      <c r="BL1627">
        <v>0</v>
      </c>
      <c r="BO1627">
        <v>0</v>
      </c>
      <c r="BP1627">
        <v>0</v>
      </c>
      <c r="BW1627" t="str">
        <f>"14:51:35.710"</f>
        <v>14:51:35.710</v>
      </c>
      <c r="CJ1627">
        <v>3</v>
      </c>
      <c r="CK1627">
        <v>2</v>
      </c>
      <c r="CL1627">
        <v>0</v>
      </c>
      <c r="CM1627">
        <v>2</v>
      </c>
      <c r="CN1627">
        <v>0</v>
      </c>
      <c r="CO1627">
        <v>7</v>
      </c>
      <c r="CP1627" t="s">
        <v>119</v>
      </c>
      <c r="CQ1627">
        <v>232</v>
      </c>
      <c r="CR1627">
        <v>2</v>
      </c>
      <c r="CW1627">
        <v>6849492</v>
      </c>
      <c r="CY1627">
        <v>1</v>
      </c>
      <c r="CZ1627">
        <v>0</v>
      </c>
      <c r="DA1627">
        <v>1</v>
      </c>
      <c r="DB1627">
        <v>0</v>
      </c>
      <c r="DC1627">
        <v>0</v>
      </c>
      <c r="DD1627">
        <v>1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>"12/16/2021 14:51:35.898"</f>
        <v>12/16/2021 14:51:35.898</v>
      </c>
      <c r="C1628" t="str">
        <f t="shared" si="79"/>
        <v>FFDFD3C0</v>
      </c>
      <c r="D1628" t="s">
        <v>124</v>
      </c>
      <c r="E1628">
        <v>5</v>
      </c>
      <c r="F1628">
        <v>1005</v>
      </c>
      <c r="G1628" t="s">
        <v>114</v>
      </c>
      <c r="J1628" t="s">
        <v>125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"14:51:35.703"</f>
        <v>14:51:35.703</v>
      </c>
      <c r="T1628" t="str">
        <f>"14:51:35.303"</f>
        <v>14:51:35.303</v>
      </c>
      <c r="U1628" t="str">
        <f t="shared" si="81"/>
        <v>A0F928</v>
      </c>
      <c r="V1628">
        <v>0</v>
      </c>
      <c r="W1628">
        <v>0</v>
      </c>
      <c r="X1628">
        <v>2</v>
      </c>
      <c r="Z1628">
        <v>0</v>
      </c>
      <c r="AA1628">
        <v>9</v>
      </c>
      <c r="AB1628">
        <v>3</v>
      </c>
      <c r="AC1628">
        <v>0</v>
      </c>
      <c r="AD1628">
        <v>10</v>
      </c>
      <c r="AE1628">
        <v>0</v>
      </c>
      <c r="AF1628">
        <v>3</v>
      </c>
      <c r="AG1628">
        <v>2</v>
      </c>
      <c r="AH1628">
        <v>1</v>
      </c>
      <c r="AI1628" t="s">
        <v>881</v>
      </c>
      <c r="AJ1628">
        <v>35.819335000000002</v>
      </c>
      <c r="AK1628" t="s">
        <v>882</v>
      </c>
      <c r="AL1628">
        <v>-84.025648000000004</v>
      </c>
      <c r="AM1628">
        <v>25</v>
      </c>
      <c r="AN1628">
        <v>1650</v>
      </c>
      <c r="AO1628" t="s">
        <v>118</v>
      </c>
      <c r="AP1628">
        <v>103</v>
      </c>
      <c r="AQ1628">
        <v>99</v>
      </c>
      <c r="AR1628">
        <v>0</v>
      </c>
      <c r="AZ1628">
        <v>300</v>
      </c>
      <c r="BA1628">
        <v>1</v>
      </c>
      <c r="BB1628" t="str">
        <f t="shared" si="80"/>
        <v xml:space="preserve">N162AM  </v>
      </c>
      <c r="BC1628">
        <v>1</v>
      </c>
      <c r="BE1628">
        <v>0</v>
      </c>
      <c r="BF1628">
        <v>0</v>
      </c>
      <c r="BG1628">
        <v>0</v>
      </c>
      <c r="BH1628">
        <v>1925</v>
      </c>
      <c r="BI1628">
        <v>1</v>
      </c>
      <c r="BJ1628">
        <v>1</v>
      </c>
      <c r="BK1628">
        <v>1</v>
      </c>
      <c r="BL1628">
        <v>0</v>
      </c>
      <c r="BO1628">
        <v>0</v>
      </c>
      <c r="BP1628">
        <v>0</v>
      </c>
      <c r="BW1628" t="str">
        <f>"14:51:35.710"</f>
        <v>14:51:35.710</v>
      </c>
      <c r="CJ1628">
        <v>3</v>
      </c>
      <c r="CK1628">
        <v>2</v>
      </c>
      <c r="CL1628">
        <v>0</v>
      </c>
      <c r="CM1628">
        <v>2</v>
      </c>
      <c r="CN1628">
        <v>0</v>
      </c>
      <c r="CO1628">
        <v>7</v>
      </c>
      <c r="CP1628" t="s">
        <v>119</v>
      </c>
      <c r="CQ1628">
        <v>232</v>
      </c>
      <c r="CR1628">
        <v>2</v>
      </c>
      <c r="CW1628">
        <v>6849492</v>
      </c>
      <c r="CY1628">
        <v>1</v>
      </c>
      <c r="CZ1628">
        <v>0</v>
      </c>
      <c r="DA1628">
        <v>1</v>
      </c>
      <c r="DB1628">
        <v>0</v>
      </c>
      <c r="DC1628">
        <v>0</v>
      </c>
      <c r="DD1628">
        <v>1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>"12/16/2021 14:51:35.961"</f>
        <v>12/16/2021 14:51:35.961</v>
      </c>
      <c r="C1629" t="str">
        <f t="shared" si="79"/>
        <v>FFDFD3C0</v>
      </c>
      <c r="D1629" t="s">
        <v>113</v>
      </c>
      <c r="E1629">
        <v>8</v>
      </c>
      <c r="H1629">
        <v>176</v>
      </c>
      <c r="I1629" t="s">
        <v>114</v>
      </c>
      <c r="J1629" t="s">
        <v>115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"14:51:35.703"</f>
        <v>14:51:35.703</v>
      </c>
      <c r="T1629" t="str">
        <f>"14:51:35.303"</f>
        <v>14:51:35.303</v>
      </c>
      <c r="U1629" t="str">
        <f t="shared" si="81"/>
        <v>A0F928</v>
      </c>
      <c r="V1629">
        <v>0</v>
      </c>
      <c r="W1629">
        <v>0</v>
      </c>
      <c r="X1629">
        <v>2</v>
      </c>
      <c r="Z1629">
        <v>0</v>
      </c>
      <c r="AA1629">
        <v>9</v>
      </c>
      <c r="AB1629">
        <v>3</v>
      </c>
      <c r="AC1629">
        <v>0</v>
      </c>
      <c r="AD1629">
        <v>10</v>
      </c>
      <c r="AE1629">
        <v>0</v>
      </c>
      <c r="AF1629">
        <v>3</v>
      </c>
      <c r="AG1629">
        <v>2</v>
      </c>
      <c r="AH1629">
        <v>1</v>
      </c>
      <c r="AI1629" t="s">
        <v>881</v>
      </c>
      <c r="AJ1629">
        <v>35.819335000000002</v>
      </c>
      <c r="AK1629" t="s">
        <v>882</v>
      </c>
      <c r="AL1629">
        <v>-84.025648000000004</v>
      </c>
      <c r="AM1629">
        <v>25</v>
      </c>
      <c r="AN1629">
        <v>1650</v>
      </c>
      <c r="AO1629" t="s">
        <v>118</v>
      </c>
      <c r="AP1629">
        <v>103</v>
      </c>
      <c r="AQ1629">
        <v>99</v>
      </c>
      <c r="AR1629">
        <v>0</v>
      </c>
      <c r="AZ1629">
        <v>300</v>
      </c>
      <c r="BA1629">
        <v>1</v>
      </c>
      <c r="BB1629" t="str">
        <f t="shared" si="80"/>
        <v xml:space="preserve">N162AM  </v>
      </c>
      <c r="BC1629">
        <v>1</v>
      </c>
      <c r="BE1629">
        <v>0</v>
      </c>
      <c r="BF1629">
        <v>0</v>
      </c>
      <c r="BG1629">
        <v>0</v>
      </c>
      <c r="BH1629">
        <v>1925</v>
      </c>
      <c r="BI1629">
        <v>1</v>
      </c>
      <c r="BJ1629">
        <v>1</v>
      </c>
      <c r="BK1629">
        <v>1</v>
      </c>
      <c r="BL1629">
        <v>0</v>
      </c>
      <c r="BO1629">
        <v>0</v>
      </c>
      <c r="BP1629">
        <v>0</v>
      </c>
      <c r="BW1629" t="str">
        <f>"14:51:35.710"</f>
        <v>14:51:35.710</v>
      </c>
      <c r="CJ1629">
        <v>3</v>
      </c>
      <c r="CK1629">
        <v>2</v>
      </c>
      <c r="CL1629">
        <v>0</v>
      </c>
      <c r="CM1629">
        <v>2</v>
      </c>
      <c r="CN1629">
        <v>0</v>
      </c>
      <c r="CO1629">
        <v>7</v>
      </c>
      <c r="CP1629" t="s">
        <v>119</v>
      </c>
      <c r="CQ1629">
        <v>232</v>
      </c>
      <c r="CR1629">
        <v>2</v>
      </c>
      <c r="CW1629">
        <v>6849492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1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>"12/16/2021 14:51:36.836"</f>
        <v>12/16/2021 14:51:36.836</v>
      </c>
      <c r="C1630" t="str">
        <f t="shared" si="79"/>
        <v>FFDFD3C0</v>
      </c>
      <c r="D1630" t="s">
        <v>133</v>
      </c>
      <c r="E1630">
        <v>44</v>
      </c>
      <c r="H1630">
        <v>131</v>
      </c>
      <c r="I1630" t="s">
        <v>134</v>
      </c>
      <c r="J1630" t="s">
        <v>135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"14:51:36.594"</f>
        <v>14:51:36.594</v>
      </c>
      <c r="T1630" t="str">
        <f>"14:51:36.194"</f>
        <v>14:51:36.194</v>
      </c>
      <c r="U1630" t="str">
        <f t="shared" si="81"/>
        <v>A0F928</v>
      </c>
      <c r="V1630">
        <v>0</v>
      </c>
      <c r="W1630">
        <v>0</v>
      </c>
      <c r="X1630">
        <v>2</v>
      </c>
      <c r="Z1630">
        <v>0</v>
      </c>
      <c r="AA1630">
        <v>9</v>
      </c>
      <c r="AB1630">
        <v>3</v>
      </c>
      <c r="AC1630">
        <v>0</v>
      </c>
      <c r="AD1630">
        <v>10</v>
      </c>
      <c r="AE1630">
        <v>0</v>
      </c>
      <c r="AF1630">
        <v>3</v>
      </c>
      <c r="AG1630">
        <v>2</v>
      </c>
      <c r="AH1630">
        <v>1</v>
      </c>
      <c r="AI1630" t="s">
        <v>883</v>
      </c>
      <c r="AJ1630">
        <v>35.819786000000001</v>
      </c>
      <c r="AK1630" t="s">
        <v>884</v>
      </c>
      <c r="AL1630">
        <v>-84.025154000000001</v>
      </c>
      <c r="AM1630">
        <v>25</v>
      </c>
      <c r="AN1630">
        <v>1650</v>
      </c>
      <c r="AO1630" t="s">
        <v>118</v>
      </c>
      <c r="AP1630">
        <v>103</v>
      </c>
      <c r="AQ1630">
        <v>98</v>
      </c>
      <c r="AR1630">
        <v>-64</v>
      </c>
      <c r="AZ1630">
        <v>300</v>
      </c>
      <c r="BA1630">
        <v>1</v>
      </c>
      <c r="BB1630" t="str">
        <f t="shared" si="80"/>
        <v xml:space="preserve">N162AM  </v>
      </c>
      <c r="BC1630">
        <v>1</v>
      </c>
      <c r="BE1630">
        <v>0</v>
      </c>
      <c r="BF1630">
        <v>0</v>
      </c>
      <c r="BG1630">
        <v>0</v>
      </c>
      <c r="BH1630">
        <v>1925</v>
      </c>
      <c r="BI1630">
        <v>1</v>
      </c>
      <c r="BJ1630">
        <v>1</v>
      </c>
      <c r="BK1630">
        <v>1</v>
      </c>
      <c r="BL1630">
        <v>0</v>
      </c>
      <c r="BO1630">
        <v>0</v>
      </c>
      <c r="BP1630">
        <v>0</v>
      </c>
      <c r="BW1630" t="str">
        <f>"14:51:36.598"</f>
        <v>14:51:36.598</v>
      </c>
      <c r="CJ1630">
        <v>3</v>
      </c>
      <c r="CK1630">
        <v>2</v>
      </c>
      <c r="CL1630">
        <v>0</v>
      </c>
      <c r="CM1630">
        <v>2</v>
      </c>
      <c r="CN1630">
        <v>0</v>
      </c>
      <c r="CO1630">
        <v>7</v>
      </c>
      <c r="CP1630" t="s">
        <v>119</v>
      </c>
      <c r="CQ1630">
        <v>232</v>
      </c>
      <c r="CR1630">
        <v>2</v>
      </c>
      <c r="CW1630">
        <v>6850776</v>
      </c>
      <c r="CY1630">
        <v>1</v>
      </c>
      <c r="CZ1630">
        <v>0</v>
      </c>
      <c r="DA1630">
        <v>0</v>
      </c>
      <c r="DB1630">
        <v>0</v>
      </c>
      <c r="DC1630">
        <v>0</v>
      </c>
      <c r="DD1630">
        <v>1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>"12/16/2021 14:51:36.836"</f>
        <v>12/16/2021 14:51:36.836</v>
      </c>
      <c r="C1631" t="str">
        <f t="shared" si="79"/>
        <v>FFDFD3C0</v>
      </c>
      <c r="D1631" t="s">
        <v>113</v>
      </c>
      <c r="E1631">
        <v>8</v>
      </c>
      <c r="H1631">
        <v>176</v>
      </c>
      <c r="I1631" t="s">
        <v>114</v>
      </c>
      <c r="J1631" t="s">
        <v>115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"14:51:36.594"</f>
        <v>14:51:36.594</v>
      </c>
      <c r="T1631" t="str">
        <f>"14:51:36.194"</f>
        <v>14:51:36.194</v>
      </c>
      <c r="U1631" t="str">
        <f t="shared" si="81"/>
        <v>A0F928</v>
      </c>
      <c r="V1631">
        <v>0</v>
      </c>
      <c r="W1631">
        <v>0</v>
      </c>
      <c r="X1631">
        <v>2</v>
      </c>
      <c r="Z1631">
        <v>0</v>
      </c>
      <c r="AA1631">
        <v>9</v>
      </c>
      <c r="AB1631">
        <v>3</v>
      </c>
      <c r="AC1631">
        <v>0</v>
      </c>
      <c r="AD1631">
        <v>10</v>
      </c>
      <c r="AE1631">
        <v>0</v>
      </c>
      <c r="AF1631">
        <v>3</v>
      </c>
      <c r="AG1631">
        <v>2</v>
      </c>
      <c r="AH1631">
        <v>1</v>
      </c>
      <c r="AI1631" t="s">
        <v>883</v>
      </c>
      <c r="AJ1631">
        <v>35.819786000000001</v>
      </c>
      <c r="AK1631" t="s">
        <v>884</v>
      </c>
      <c r="AL1631">
        <v>-84.025154000000001</v>
      </c>
      <c r="AM1631">
        <v>25</v>
      </c>
      <c r="AN1631">
        <v>1650</v>
      </c>
      <c r="AO1631" t="s">
        <v>118</v>
      </c>
      <c r="AP1631">
        <v>103</v>
      </c>
      <c r="AQ1631">
        <v>98</v>
      </c>
      <c r="AR1631">
        <v>-64</v>
      </c>
      <c r="AZ1631">
        <v>300</v>
      </c>
      <c r="BA1631">
        <v>1</v>
      </c>
      <c r="BB1631" t="str">
        <f t="shared" si="80"/>
        <v xml:space="preserve">N162AM  </v>
      </c>
      <c r="BC1631">
        <v>1</v>
      </c>
      <c r="BE1631">
        <v>0</v>
      </c>
      <c r="BF1631">
        <v>0</v>
      </c>
      <c r="BG1631">
        <v>0</v>
      </c>
      <c r="BH1631">
        <v>1925</v>
      </c>
      <c r="BI1631">
        <v>1</v>
      </c>
      <c r="BJ1631">
        <v>1</v>
      </c>
      <c r="BK1631">
        <v>1</v>
      </c>
      <c r="BL1631">
        <v>0</v>
      </c>
      <c r="BO1631">
        <v>0</v>
      </c>
      <c r="BP1631">
        <v>0</v>
      </c>
      <c r="BW1631" t="str">
        <f>"14:51:36.598"</f>
        <v>14:51:36.598</v>
      </c>
      <c r="CJ1631">
        <v>3</v>
      </c>
      <c r="CK1631">
        <v>2</v>
      </c>
      <c r="CL1631">
        <v>0</v>
      </c>
      <c r="CM1631">
        <v>2</v>
      </c>
      <c r="CN1631">
        <v>0</v>
      </c>
      <c r="CO1631">
        <v>7</v>
      </c>
      <c r="CP1631" t="s">
        <v>119</v>
      </c>
      <c r="CQ1631">
        <v>232</v>
      </c>
      <c r="CR1631">
        <v>2</v>
      </c>
      <c r="CW1631">
        <v>6850776</v>
      </c>
      <c r="CY1631">
        <v>1</v>
      </c>
      <c r="CZ1631">
        <v>0</v>
      </c>
      <c r="DA1631">
        <v>1</v>
      </c>
      <c r="DB1631">
        <v>0</v>
      </c>
      <c r="DC1631">
        <v>0</v>
      </c>
      <c r="DD1631">
        <v>1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>"12/16/2021 14:51:36.867"</f>
        <v>12/16/2021 14:51:36.867</v>
      </c>
      <c r="C1632" t="str">
        <f t="shared" si="79"/>
        <v>FFDFD3C0</v>
      </c>
      <c r="D1632" t="s">
        <v>124</v>
      </c>
      <c r="E1632">
        <v>10</v>
      </c>
      <c r="F1632">
        <v>1010</v>
      </c>
      <c r="G1632" t="s">
        <v>130</v>
      </c>
      <c r="J1632" t="s">
        <v>125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"14:51:36.594"</f>
        <v>14:51:36.594</v>
      </c>
      <c r="T1632" t="str">
        <f>"14:51:36.194"</f>
        <v>14:51:36.194</v>
      </c>
      <c r="U1632" t="str">
        <f t="shared" si="81"/>
        <v>A0F928</v>
      </c>
      <c r="V1632">
        <v>0</v>
      </c>
      <c r="W1632">
        <v>0</v>
      </c>
      <c r="X1632">
        <v>2</v>
      </c>
      <c r="Z1632">
        <v>0</v>
      </c>
      <c r="AA1632">
        <v>9</v>
      </c>
      <c r="AB1632">
        <v>3</v>
      </c>
      <c r="AC1632">
        <v>0</v>
      </c>
      <c r="AD1632">
        <v>10</v>
      </c>
      <c r="AE1632">
        <v>0</v>
      </c>
      <c r="AF1632">
        <v>3</v>
      </c>
      <c r="AG1632">
        <v>2</v>
      </c>
      <c r="AH1632">
        <v>1</v>
      </c>
      <c r="AI1632" t="s">
        <v>883</v>
      </c>
      <c r="AJ1632">
        <v>35.819786000000001</v>
      </c>
      <c r="AK1632" t="s">
        <v>884</v>
      </c>
      <c r="AL1632">
        <v>-84.025154000000001</v>
      </c>
      <c r="AM1632">
        <v>25</v>
      </c>
      <c r="AN1632">
        <v>1650</v>
      </c>
      <c r="AO1632" t="s">
        <v>118</v>
      </c>
      <c r="AP1632">
        <v>103</v>
      </c>
      <c r="AQ1632">
        <v>98</v>
      </c>
      <c r="AR1632">
        <v>-64</v>
      </c>
      <c r="AZ1632">
        <v>300</v>
      </c>
      <c r="BA1632">
        <v>1</v>
      </c>
      <c r="BB1632" t="str">
        <f t="shared" si="80"/>
        <v xml:space="preserve">N162AM  </v>
      </c>
      <c r="BC1632">
        <v>1</v>
      </c>
      <c r="BE1632">
        <v>0</v>
      </c>
      <c r="BF1632">
        <v>0</v>
      </c>
      <c r="BG1632">
        <v>0</v>
      </c>
      <c r="BH1632">
        <v>1925</v>
      </c>
      <c r="BI1632">
        <v>1</v>
      </c>
      <c r="BJ1632">
        <v>1</v>
      </c>
      <c r="BK1632">
        <v>1</v>
      </c>
      <c r="BL1632">
        <v>0</v>
      </c>
      <c r="BO1632">
        <v>0</v>
      </c>
      <c r="BP1632">
        <v>0</v>
      </c>
      <c r="BW1632" t="str">
        <f>"14:51:36.598"</f>
        <v>14:51:36.598</v>
      </c>
      <c r="CJ1632">
        <v>3</v>
      </c>
      <c r="CK1632">
        <v>2</v>
      </c>
      <c r="CL1632">
        <v>0</v>
      </c>
      <c r="CM1632">
        <v>2</v>
      </c>
      <c r="CN1632">
        <v>0</v>
      </c>
      <c r="CO1632">
        <v>7</v>
      </c>
      <c r="CP1632" t="s">
        <v>119</v>
      </c>
      <c r="CQ1632">
        <v>232</v>
      </c>
      <c r="CR1632">
        <v>2</v>
      </c>
      <c r="CW1632">
        <v>6850776</v>
      </c>
      <c r="CY1632">
        <v>1</v>
      </c>
      <c r="CZ1632">
        <v>0</v>
      </c>
      <c r="DA1632">
        <v>1</v>
      </c>
      <c r="DB1632">
        <v>0</v>
      </c>
      <c r="DC1632">
        <v>0</v>
      </c>
      <c r="DD1632">
        <v>1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>"12/16/2021 14:51:36.867"</f>
        <v>12/16/2021 14:51:36.867</v>
      </c>
      <c r="C1633" t="str">
        <f t="shared" si="79"/>
        <v>FFDFD3C0</v>
      </c>
      <c r="D1633" t="s">
        <v>124</v>
      </c>
      <c r="E1633">
        <v>5</v>
      </c>
      <c r="F1633">
        <v>1005</v>
      </c>
      <c r="G1633" t="s">
        <v>114</v>
      </c>
      <c r="J1633" t="s">
        <v>125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"14:51:36.594"</f>
        <v>14:51:36.594</v>
      </c>
      <c r="T1633" t="str">
        <f>"14:51:36.194"</f>
        <v>14:51:36.194</v>
      </c>
      <c r="U1633" t="str">
        <f t="shared" si="81"/>
        <v>A0F928</v>
      </c>
      <c r="V1633">
        <v>0</v>
      </c>
      <c r="W1633">
        <v>0</v>
      </c>
      <c r="X1633">
        <v>2</v>
      </c>
      <c r="Z1633">
        <v>0</v>
      </c>
      <c r="AA1633">
        <v>9</v>
      </c>
      <c r="AB1633">
        <v>3</v>
      </c>
      <c r="AC1633">
        <v>0</v>
      </c>
      <c r="AD1633">
        <v>10</v>
      </c>
      <c r="AE1633">
        <v>0</v>
      </c>
      <c r="AF1633">
        <v>3</v>
      </c>
      <c r="AG1633">
        <v>2</v>
      </c>
      <c r="AH1633">
        <v>1</v>
      </c>
      <c r="AI1633" t="s">
        <v>883</v>
      </c>
      <c r="AJ1633">
        <v>35.819786000000001</v>
      </c>
      <c r="AK1633" t="s">
        <v>884</v>
      </c>
      <c r="AL1633">
        <v>-84.025154000000001</v>
      </c>
      <c r="AM1633">
        <v>25</v>
      </c>
      <c r="AN1633">
        <v>1650</v>
      </c>
      <c r="AO1633" t="s">
        <v>118</v>
      </c>
      <c r="AP1633">
        <v>103</v>
      </c>
      <c r="AQ1633">
        <v>98</v>
      </c>
      <c r="AR1633">
        <v>-64</v>
      </c>
      <c r="AZ1633">
        <v>300</v>
      </c>
      <c r="BA1633">
        <v>1</v>
      </c>
      <c r="BB1633" t="str">
        <f t="shared" si="80"/>
        <v xml:space="preserve">N162AM  </v>
      </c>
      <c r="BC1633">
        <v>1</v>
      </c>
      <c r="BE1633">
        <v>0</v>
      </c>
      <c r="BF1633">
        <v>0</v>
      </c>
      <c r="BG1633">
        <v>0</v>
      </c>
      <c r="BH1633">
        <v>1925</v>
      </c>
      <c r="BI1633">
        <v>1</v>
      </c>
      <c r="BJ1633">
        <v>1</v>
      </c>
      <c r="BK1633">
        <v>1</v>
      </c>
      <c r="BL1633">
        <v>0</v>
      </c>
      <c r="BO1633">
        <v>0</v>
      </c>
      <c r="BP1633">
        <v>0</v>
      </c>
      <c r="BW1633" t="str">
        <f>"14:51:36.598"</f>
        <v>14:51:36.598</v>
      </c>
      <c r="CJ1633">
        <v>3</v>
      </c>
      <c r="CK1633">
        <v>2</v>
      </c>
      <c r="CL1633">
        <v>0</v>
      </c>
      <c r="CM1633">
        <v>2</v>
      </c>
      <c r="CN1633">
        <v>0</v>
      </c>
      <c r="CO1633">
        <v>7</v>
      </c>
      <c r="CP1633" t="s">
        <v>119</v>
      </c>
      <c r="CQ1633">
        <v>232</v>
      </c>
      <c r="CR1633">
        <v>2</v>
      </c>
      <c r="CW1633">
        <v>6850776</v>
      </c>
      <c r="CY1633">
        <v>1</v>
      </c>
      <c r="CZ1633">
        <v>0</v>
      </c>
      <c r="DA1633">
        <v>1</v>
      </c>
      <c r="DB1633">
        <v>0</v>
      </c>
      <c r="DC1633">
        <v>0</v>
      </c>
      <c r="DD1633">
        <v>1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>"12/16/2021 14:51:37.820"</f>
        <v>12/16/2021 14:51:37.820</v>
      </c>
      <c r="C1634" t="str">
        <f t="shared" si="79"/>
        <v>FFDFD3C0</v>
      </c>
      <c r="D1634" t="s">
        <v>124</v>
      </c>
      <c r="E1634">
        <v>10</v>
      </c>
      <c r="F1634">
        <v>1010</v>
      </c>
      <c r="G1634" t="s">
        <v>130</v>
      </c>
      <c r="J1634" t="s">
        <v>125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>"14:51:37.586"</f>
        <v>14:51:37.586</v>
      </c>
      <c r="T1634" t="str">
        <f>"14:51:37.186"</f>
        <v>14:51:37.186</v>
      </c>
      <c r="U1634" t="str">
        <f t="shared" si="81"/>
        <v>A0F928</v>
      </c>
      <c r="V1634">
        <v>0</v>
      </c>
      <c r="W1634">
        <v>0</v>
      </c>
      <c r="X1634">
        <v>2</v>
      </c>
      <c r="Z1634">
        <v>0</v>
      </c>
      <c r="AA1634">
        <v>9</v>
      </c>
      <c r="AB1634">
        <v>3</v>
      </c>
      <c r="AC1634">
        <v>0</v>
      </c>
      <c r="AD1634">
        <v>10</v>
      </c>
      <c r="AE1634">
        <v>0</v>
      </c>
      <c r="AF1634">
        <v>3</v>
      </c>
      <c r="AG1634">
        <v>2</v>
      </c>
      <c r="AH1634">
        <v>1</v>
      </c>
      <c r="AI1634" t="s">
        <v>885</v>
      </c>
      <c r="AJ1634">
        <v>35.820236000000001</v>
      </c>
      <c r="AK1634" t="s">
        <v>886</v>
      </c>
      <c r="AL1634">
        <v>-84.024531999999994</v>
      </c>
      <c r="AM1634">
        <v>25</v>
      </c>
      <c r="AN1634">
        <v>1650</v>
      </c>
      <c r="AO1634" t="s">
        <v>118</v>
      </c>
      <c r="AP1634">
        <v>103</v>
      </c>
      <c r="AQ1634">
        <v>97</v>
      </c>
      <c r="AR1634">
        <v>0</v>
      </c>
      <c r="AZ1634">
        <v>300</v>
      </c>
      <c r="BA1634">
        <v>1</v>
      </c>
      <c r="BB1634" t="str">
        <f t="shared" si="80"/>
        <v xml:space="preserve">N162AM  </v>
      </c>
      <c r="BC1634">
        <v>1</v>
      </c>
      <c r="BE1634">
        <v>0</v>
      </c>
      <c r="BF1634">
        <v>0</v>
      </c>
      <c r="BG1634">
        <v>0</v>
      </c>
      <c r="BH1634">
        <v>1925</v>
      </c>
      <c r="BI1634">
        <v>1</v>
      </c>
      <c r="BJ1634">
        <v>1</v>
      </c>
      <c r="BK1634">
        <v>1</v>
      </c>
      <c r="BL1634">
        <v>0</v>
      </c>
      <c r="BO1634">
        <v>0</v>
      </c>
      <c r="BP1634">
        <v>0</v>
      </c>
      <c r="BW1634" t="str">
        <f>"14:51:37.592"</f>
        <v>14:51:37.592</v>
      </c>
      <c r="CJ1634">
        <v>3</v>
      </c>
      <c r="CK1634">
        <v>2</v>
      </c>
      <c r="CL1634">
        <v>0</v>
      </c>
      <c r="CM1634">
        <v>2</v>
      </c>
      <c r="CN1634">
        <v>0</v>
      </c>
      <c r="CO1634">
        <v>6</v>
      </c>
      <c r="CP1634" t="s">
        <v>119</v>
      </c>
      <c r="CQ1634">
        <v>232</v>
      </c>
      <c r="CR1634">
        <v>2</v>
      </c>
      <c r="CW1634">
        <v>6852336</v>
      </c>
      <c r="CY1634">
        <v>1</v>
      </c>
      <c r="CZ1634">
        <v>0</v>
      </c>
      <c r="DA1634">
        <v>0</v>
      </c>
      <c r="DB1634">
        <v>0</v>
      </c>
      <c r="DC1634">
        <v>0</v>
      </c>
      <c r="DD1634">
        <v>1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>"12/16/2021 14:51:37.820"</f>
        <v>12/16/2021 14:51:37.820</v>
      </c>
      <c r="C1635" t="str">
        <f t="shared" si="79"/>
        <v>FFDFD3C0</v>
      </c>
      <c r="D1635" t="s">
        <v>124</v>
      </c>
      <c r="E1635">
        <v>5</v>
      </c>
      <c r="F1635">
        <v>1005</v>
      </c>
      <c r="G1635" t="s">
        <v>114</v>
      </c>
      <c r="J1635" t="s">
        <v>125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>"14:51:37.586"</f>
        <v>14:51:37.586</v>
      </c>
      <c r="T1635" t="str">
        <f>"14:51:37.186"</f>
        <v>14:51:37.186</v>
      </c>
      <c r="U1635" t="str">
        <f t="shared" si="81"/>
        <v>A0F928</v>
      </c>
      <c r="V1635">
        <v>0</v>
      </c>
      <c r="W1635">
        <v>0</v>
      </c>
      <c r="X1635">
        <v>2</v>
      </c>
      <c r="Z1635">
        <v>0</v>
      </c>
      <c r="AA1635">
        <v>9</v>
      </c>
      <c r="AB1635">
        <v>3</v>
      </c>
      <c r="AC1635">
        <v>0</v>
      </c>
      <c r="AD1635">
        <v>10</v>
      </c>
      <c r="AE1635">
        <v>0</v>
      </c>
      <c r="AF1635">
        <v>3</v>
      </c>
      <c r="AG1635">
        <v>2</v>
      </c>
      <c r="AH1635">
        <v>1</v>
      </c>
      <c r="AI1635" t="s">
        <v>885</v>
      </c>
      <c r="AJ1635">
        <v>35.820236000000001</v>
      </c>
      <c r="AK1635" t="s">
        <v>886</v>
      </c>
      <c r="AL1635">
        <v>-84.024531999999994</v>
      </c>
      <c r="AM1635">
        <v>25</v>
      </c>
      <c r="AN1635">
        <v>1650</v>
      </c>
      <c r="AO1635" t="s">
        <v>118</v>
      </c>
      <c r="AP1635">
        <v>103</v>
      </c>
      <c r="AQ1635">
        <v>97</v>
      </c>
      <c r="AR1635">
        <v>0</v>
      </c>
      <c r="AZ1635">
        <v>300</v>
      </c>
      <c r="BA1635">
        <v>1</v>
      </c>
      <c r="BB1635" t="str">
        <f t="shared" si="80"/>
        <v xml:space="preserve">N162AM  </v>
      </c>
      <c r="BC1635">
        <v>1</v>
      </c>
      <c r="BE1635">
        <v>0</v>
      </c>
      <c r="BF1635">
        <v>0</v>
      </c>
      <c r="BG1635">
        <v>0</v>
      </c>
      <c r="BH1635">
        <v>1925</v>
      </c>
      <c r="BI1635">
        <v>1</v>
      </c>
      <c r="BJ1635">
        <v>1</v>
      </c>
      <c r="BK1635">
        <v>1</v>
      </c>
      <c r="BL1635">
        <v>0</v>
      </c>
      <c r="BO1635">
        <v>0</v>
      </c>
      <c r="BP1635">
        <v>0</v>
      </c>
      <c r="BW1635" t="str">
        <f>"14:51:37.592"</f>
        <v>14:51:37.592</v>
      </c>
      <c r="CJ1635">
        <v>3</v>
      </c>
      <c r="CK1635">
        <v>2</v>
      </c>
      <c r="CL1635">
        <v>0</v>
      </c>
      <c r="CM1635">
        <v>2</v>
      </c>
      <c r="CN1635">
        <v>0</v>
      </c>
      <c r="CO1635">
        <v>6</v>
      </c>
      <c r="CP1635" t="s">
        <v>119</v>
      </c>
      <c r="CQ1635">
        <v>232</v>
      </c>
      <c r="CR1635">
        <v>2</v>
      </c>
      <c r="CW1635">
        <v>6852336</v>
      </c>
      <c r="CY1635">
        <v>1</v>
      </c>
      <c r="CZ1635">
        <v>0</v>
      </c>
      <c r="DA1635">
        <v>1</v>
      </c>
      <c r="DB1635">
        <v>0</v>
      </c>
      <c r="DC1635">
        <v>0</v>
      </c>
      <c r="DD1635">
        <v>1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>"12/16/2021 14:51:37.836"</f>
        <v>12/16/2021 14:51:37.836</v>
      </c>
      <c r="C1636" t="str">
        <f t="shared" si="79"/>
        <v>FFDFD3C0</v>
      </c>
      <c r="D1636" t="s">
        <v>133</v>
      </c>
      <c r="E1636">
        <v>44</v>
      </c>
      <c r="H1636">
        <v>131</v>
      </c>
      <c r="I1636" t="s">
        <v>134</v>
      </c>
      <c r="J1636" t="s">
        <v>135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"14:51:37.586"</f>
        <v>14:51:37.586</v>
      </c>
      <c r="T1636" t="str">
        <f>"14:51:37.186"</f>
        <v>14:51:37.186</v>
      </c>
      <c r="U1636" t="str">
        <f t="shared" si="81"/>
        <v>A0F928</v>
      </c>
      <c r="V1636">
        <v>0</v>
      </c>
      <c r="W1636">
        <v>0</v>
      </c>
      <c r="X1636">
        <v>2</v>
      </c>
      <c r="Z1636">
        <v>0</v>
      </c>
      <c r="AA1636">
        <v>9</v>
      </c>
      <c r="AB1636">
        <v>3</v>
      </c>
      <c r="AC1636">
        <v>0</v>
      </c>
      <c r="AD1636">
        <v>10</v>
      </c>
      <c r="AE1636">
        <v>0</v>
      </c>
      <c r="AF1636">
        <v>3</v>
      </c>
      <c r="AG1636">
        <v>2</v>
      </c>
      <c r="AH1636">
        <v>1</v>
      </c>
      <c r="AI1636" t="s">
        <v>885</v>
      </c>
      <c r="AJ1636">
        <v>35.820236000000001</v>
      </c>
      <c r="AK1636" t="s">
        <v>886</v>
      </c>
      <c r="AL1636">
        <v>-84.024531999999994</v>
      </c>
      <c r="AM1636">
        <v>25</v>
      </c>
      <c r="AN1636">
        <v>1650</v>
      </c>
      <c r="AO1636" t="s">
        <v>118</v>
      </c>
      <c r="AP1636">
        <v>103</v>
      </c>
      <c r="AQ1636">
        <v>97</v>
      </c>
      <c r="AR1636">
        <v>0</v>
      </c>
      <c r="AZ1636">
        <v>300</v>
      </c>
      <c r="BA1636">
        <v>1</v>
      </c>
      <c r="BB1636" t="str">
        <f t="shared" si="80"/>
        <v xml:space="preserve">N162AM  </v>
      </c>
      <c r="BC1636">
        <v>1</v>
      </c>
      <c r="BE1636">
        <v>0</v>
      </c>
      <c r="BF1636">
        <v>0</v>
      </c>
      <c r="BG1636">
        <v>0</v>
      </c>
      <c r="BH1636">
        <v>1925</v>
      </c>
      <c r="BI1636">
        <v>1</v>
      </c>
      <c r="BJ1636">
        <v>1</v>
      </c>
      <c r="BK1636">
        <v>1</v>
      </c>
      <c r="BL1636">
        <v>0</v>
      </c>
      <c r="BO1636">
        <v>0</v>
      </c>
      <c r="BP1636">
        <v>0</v>
      </c>
      <c r="BW1636" t="str">
        <f>"14:51:37.592"</f>
        <v>14:51:37.592</v>
      </c>
      <c r="CJ1636">
        <v>3</v>
      </c>
      <c r="CK1636">
        <v>2</v>
      </c>
      <c r="CL1636">
        <v>0</v>
      </c>
      <c r="CM1636">
        <v>2</v>
      </c>
      <c r="CN1636">
        <v>0</v>
      </c>
      <c r="CO1636">
        <v>6</v>
      </c>
      <c r="CP1636" t="s">
        <v>119</v>
      </c>
      <c r="CQ1636">
        <v>232</v>
      </c>
      <c r="CR1636">
        <v>2</v>
      </c>
      <c r="CW1636">
        <v>6852336</v>
      </c>
      <c r="CY1636">
        <v>1</v>
      </c>
      <c r="CZ1636">
        <v>0</v>
      </c>
      <c r="DA1636">
        <v>1</v>
      </c>
      <c r="DB1636">
        <v>0</v>
      </c>
      <c r="DC1636">
        <v>0</v>
      </c>
      <c r="DD1636">
        <v>1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>"12/16/2021 14:51:37.836"</f>
        <v>12/16/2021 14:51:37.836</v>
      </c>
      <c r="C1637" t="str">
        <f t="shared" si="79"/>
        <v>FFDFD3C0</v>
      </c>
      <c r="D1637" t="s">
        <v>113</v>
      </c>
      <c r="E1637">
        <v>8</v>
      </c>
      <c r="H1637">
        <v>176</v>
      </c>
      <c r="I1637" t="s">
        <v>114</v>
      </c>
      <c r="J1637" t="s">
        <v>115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"14:51:37.586"</f>
        <v>14:51:37.586</v>
      </c>
      <c r="T1637" t="str">
        <f>"14:51:37.186"</f>
        <v>14:51:37.186</v>
      </c>
      <c r="U1637" t="str">
        <f t="shared" si="81"/>
        <v>A0F928</v>
      </c>
      <c r="V1637">
        <v>0</v>
      </c>
      <c r="W1637">
        <v>0</v>
      </c>
      <c r="X1637">
        <v>2</v>
      </c>
      <c r="Z1637">
        <v>0</v>
      </c>
      <c r="AA1637">
        <v>9</v>
      </c>
      <c r="AB1637">
        <v>3</v>
      </c>
      <c r="AC1637">
        <v>0</v>
      </c>
      <c r="AD1637">
        <v>10</v>
      </c>
      <c r="AE1637">
        <v>0</v>
      </c>
      <c r="AF1637">
        <v>3</v>
      </c>
      <c r="AG1637">
        <v>2</v>
      </c>
      <c r="AH1637">
        <v>1</v>
      </c>
      <c r="AI1637" t="s">
        <v>885</v>
      </c>
      <c r="AJ1637">
        <v>35.820236000000001</v>
      </c>
      <c r="AK1637" t="s">
        <v>886</v>
      </c>
      <c r="AL1637">
        <v>-84.024531999999994</v>
      </c>
      <c r="AM1637">
        <v>25</v>
      </c>
      <c r="AN1637">
        <v>1650</v>
      </c>
      <c r="AO1637" t="s">
        <v>118</v>
      </c>
      <c r="AP1637">
        <v>103</v>
      </c>
      <c r="AQ1637">
        <v>97</v>
      </c>
      <c r="AR1637">
        <v>0</v>
      </c>
      <c r="AZ1637">
        <v>300</v>
      </c>
      <c r="BA1637">
        <v>1</v>
      </c>
      <c r="BB1637" t="str">
        <f t="shared" si="80"/>
        <v xml:space="preserve">N162AM  </v>
      </c>
      <c r="BC1637">
        <v>1</v>
      </c>
      <c r="BE1637">
        <v>0</v>
      </c>
      <c r="BF1637">
        <v>0</v>
      </c>
      <c r="BG1637">
        <v>0</v>
      </c>
      <c r="BH1637">
        <v>1925</v>
      </c>
      <c r="BI1637">
        <v>1</v>
      </c>
      <c r="BJ1637">
        <v>1</v>
      </c>
      <c r="BK1637">
        <v>1</v>
      </c>
      <c r="BL1637">
        <v>0</v>
      </c>
      <c r="BO1637">
        <v>0</v>
      </c>
      <c r="BP1637">
        <v>0</v>
      </c>
      <c r="BW1637" t="str">
        <f>"14:51:37.592"</f>
        <v>14:51:37.592</v>
      </c>
      <c r="CJ1637">
        <v>3</v>
      </c>
      <c r="CK1637">
        <v>2</v>
      </c>
      <c r="CL1637">
        <v>0</v>
      </c>
      <c r="CM1637">
        <v>2</v>
      </c>
      <c r="CN1637">
        <v>0</v>
      </c>
      <c r="CO1637">
        <v>6</v>
      </c>
      <c r="CP1637" t="s">
        <v>119</v>
      </c>
      <c r="CQ1637">
        <v>232</v>
      </c>
      <c r="CR1637">
        <v>2</v>
      </c>
      <c r="CW1637">
        <v>6852336</v>
      </c>
      <c r="CY1637">
        <v>1</v>
      </c>
      <c r="CZ1637">
        <v>0</v>
      </c>
      <c r="DA1637">
        <v>1</v>
      </c>
      <c r="DB1637">
        <v>0</v>
      </c>
      <c r="DC1637">
        <v>0</v>
      </c>
      <c r="DD1637">
        <v>1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>"12/16/2021 14:51:38.851"</f>
        <v>12/16/2021 14:51:38.851</v>
      </c>
      <c r="C1638" t="str">
        <f t="shared" si="79"/>
        <v>FFDFD3C0</v>
      </c>
      <c r="D1638" t="s">
        <v>133</v>
      </c>
      <c r="E1638">
        <v>44</v>
      </c>
      <c r="H1638">
        <v>131</v>
      </c>
      <c r="I1638" t="s">
        <v>134</v>
      </c>
      <c r="J1638" t="s">
        <v>135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"14:51:38.617"</f>
        <v>14:51:38.617</v>
      </c>
      <c r="T1638" t="str">
        <f>"14:51:38.217"</f>
        <v>14:51:38.217</v>
      </c>
      <c r="U1638" t="str">
        <f t="shared" si="81"/>
        <v>A0F928</v>
      </c>
      <c r="V1638">
        <v>0</v>
      </c>
      <c r="W1638">
        <v>0</v>
      </c>
      <c r="X1638">
        <v>2</v>
      </c>
      <c r="Z1638">
        <v>0</v>
      </c>
      <c r="AA1638">
        <v>9</v>
      </c>
      <c r="AB1638">
        <v>3</v>
      </c>
      <c r="AC1638">
        <v>0</v>
      </c>
      <c r="AD1638">
        <v>10</v>
      </c>
      <c r="AE1638">
        <v>0</v>
      </c>
      <c r="AF1638">
        <v>3</v>
      </c>
      <c r="AG1638">
        <v>2</v>
      </c>
      <c r="AH1638">
        <v>1</v>
      </c>
      <c r="AI1638" t="s">
        <v>887</v>
      </c>
      <c r="AJ1638">
        <v>35.820644000000001</v>
      </c>
      <c r="AK1638" t="s">
        <v>888</v>
      </c>
      <c r="AL1638">
        <v>-84.023951999999994</v>
      </c>
      <c r="AM1638">
        <v>25</v>
      </c>
      <c r="AN1638">
        <v>1650</v>
      </c>
      <c r="AO1638" t="s">
        <v>118</v>
      </c>
      <c r="AP1638">
        <v>103</v>
      </c>
      <c r="AQ1638">
        <v>96</v>
      </c>
      <c r="AR1638">
        <v>128</v>
      </c>
      <c r="AZ1638">
        <v>300</v>
      </c>
      <c r="BA1638">
        <v>1</v>
      </c>
      <c r="BB1638" t="str">
        <f t="shared" si="80"/>
        <v xml:space="preserve">N162AM  </v>
      </c>
      <c r="BC1638">
        <v>1</v>
      </c>
      <c r="BE1638">
        <v>0</v>
      </c>
      <c r="BF1638">
        <v>0</v>
      </c>
      <c r="BG1638">
        <v>0</v>
      </c>
      <c r="BH1638">
        <v>1925</v>
      </c>
      <c r="BI1638">
        <v>1</v>
      </c>
      <c r="BJ1638">
        <v>1</v>
      </c>
      <c r="BK1638">
        <v>1</v>
      </c>
      <c r="BL1638">
        <v>0</v>
      </c>
      <c r="BO1638">
        <v>0</v>
      </c>
      <c r="BP1638">
        <v>0</v>
      </c>
      <c r="BW1638" t="str">
        <f>"14:51:38.620"</f>
        <v>14:51:38.620</v>
      </c>
      <c r="CJ1638">
        <v>3</v>
      </c>
      <c r="CK1638">
        <v>2</v>
      </c>
      <c r="CL1638">
        <v>0</v>
      </c>
      <c r="CM1638">
        <v>2</v>
      </c>
      <c r="CN1638">
        <v>0</v>
      </c>
      <c r="CO1638">
        <v>6</v>
      </c>
      <c r="CP1638" t="s">
        <v>119</v>
      </c>
      <c r="CQ1638">
        <v>232</v>
      </c>
      <c r="CR1638">
        <v>2</v>
      </c>
      <c r="CW1638">
        <v>6853850</v>
      </c>
      <c r="CY1638">
        <v>1</v>
      </c>
      <c r="CZ1638">
        <v>0</v>
      </c>
      <c r="DA1638">
        <v>0</v>
      </c>
      <c r="DB1638">
        <v>0</v>
      </c>
      <c r="DC1638">
        <v>0</v>
      </c>
      <c r="DD1638">
        <v>1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>"12/16/2021 14:51:38.851"</f>
        <v>12/16/2021 14:51:38.851</v>
      </c>
      <c r="C1639" t="str">
        <f t="shared" si="79"/>
        <v>FFDFD3C0</v>
      </c>
      <c r="D1639" t="s">
        <v>113</v>
      </c>
      <c r="E1639">
        <v>8</v>
      </c>
      <c r="H1639">
        <v>176</v>
      </c>
      <c r="I1639" t="s">
        <v>114</v>
      </c>
      <c r="J1639" t="s">
        <v>115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>"14:51:38.617"</f>
        <v>14:51:38.617</v>
      </c>
      <c r="T1639" t="str">
        <f>"14:51:38.217"</f>
        <v>14:51:38.217</v>
      </c>
      <c r="U1639" t="str">
        <f t="shared" si="81"/>
        <v>A0F928</v>
      </c>
      <c r="V1639">
        <v>0</v>
      </c>
      <c r="W1639">
        <v>0</v>
      </c>
      <c r="X1639">
        <v>2</v>
      </c>
      <c r="Z1639">
        <v>0</v>
      </c>
      <c r="AA1639">
        <v>9</v>
      </c>
      <c r="AB1639">
        <v>3</v>
      </c>
      <c r="AC1639">
        <v>0</v>
      </c>
      <c r="AD1639">
        <v>10</v>
      </c>
      <c r="AE1639">
        <v>0</v>
      </c>
      <c r="AF1639">
        <v>3</v>
      </c>
      <c r="AG1639">
        <v>2</v>
      </c>
      <c r="AH1639">
        <v>1</v>
      </c>
      <c r="AI1639" t="s">
        <v>887</v>
      </c>
      <c r="AJ1639">
        <v>35.820644000000001</v>
      </c>
      <c r="AK1639" t="s">
        <v>888</v>
      </c>
      <c r="AL1639">
        <v>-84.023951999999994</v>
      </c>
      <c r="AM1639">
        <v>25</v>
      </c>
      <c r="AN1639">
        <v>1650</v>
      </c>
      <c r="AO1639" t="s">
        <v>118</v>
      </c>
      <c r="AP1639">
        <v>103</v>
      </c>
      <c r="AQ1639">
        <v>96</v>
      </c>
      <c r="AR1639">
        <v>128</v>
      </c>
      <c r="AZ1639">
        <v>300</v>
      </c>
      <c r="BA1639">
        <v>1</v>
      </c>
      <c r="BB1639" t="str">
        <f t="shared" si="80"/>
        <v xml:space="preserve">N162AM  </v>
      </c>
      <c r="BC1639">
        <v>1</v>
      </c>
      <c r="BE1639">
        <v>0</v>
      </c>
      <c r="BF1639">
        <v>0</v>
      </c>
      <c r="BG1639">
        <v>0</v>
      </c>
      <c r="BH1639">
        <v>1925</v>
      </c>
      <c r="BI1639">
        <v>1</v>
      </c>
      <c r="BJ1639">
        <v>1</v>
      </c>
      <c r="BK1639">
        <v>1</v>
      </c>
      <c r="BL1639">
        <v>0</v>
      </c>
      <c r="BO1639">
        <v>0</v>
      </c>
      <c r="BP1639">
        <v>0</v>
      </c>
      <c r="BW1639" t="str">
        <f>"14:51:38.620"</f>
        <v>14:51:38.620</v>
      </c>
      <c r="CJ1639">
        <v>3</v>
      </c>
      <c r="CK1639">
        <v>2</v>
      </c>
      <c r="CL1639">
        <v>0</v>
      </c>
      <c r="CM1639">
        <v>2</v>
      </c>
      <c r="CN1639">
        <v>0</v>
      </c>
      <c r="CO1639">
        <v>6</v>
      </c>
      <c r="CP1639" t="s">
        <v>119</v>
      </c>
      <c r="CQ1639">
        <v>232</v>
      </c>
      <c r="CR1639">
        <v>2</v>
      </c>
      <c r="CW1639">
        <v>6853850</v>
      </c>
      <c r="CY1639">
        <v>1</v>
      </c>
      <c r="CZ1639">
        <v>0</v>
      </c>
      <c r="DA1639">
        <v>1</v>
      </c>
      <c r="DB1639">
        <v>0</v>
      </c>
      <c r="DC1639">
        <v>0</v>
      </c>
      <c r="DD1639">
        <v>1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>"12/16/2021 14:51:38.898"</f>
        <v>12/16/2021 14:51:38.898</v>
      </c>
      <c r="C1640" t="str">
        <f t="shared" si="79"/>
        <v>FFDFD3C0</v>
      </c>
      <c r="D1640" t="s">
        <v>124</v>
      </c>
      <c r="E1640">
        <v>10</v>
      </c>
      <c r="F1640">
        <v>1010</v>
      </c>
      <c r="G1640" t="s">
        <v>130</v>
      </c>
      <c r="J1640" t="s">
        <v>125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"14:51:38.617"</f>
        <v>14:51:38.617</v>
      </c>
      <c r="T1640" t="str">
        <f>"14:51:38.217"</f>
        <v>14:51:38.217</v>
      </c>
      <c r="U1640" t="str">
        <f t="shared" si="81"/>
        <v>A0F928</v>
      </c>
      <c r="V1640">
        <v>0</v>
      </c>
      <c r="W1640">
        <v>0</v>
      </c>
      <c r="X1640">
        <v>2</v>
      </c>
      <c r="Z1640">
        <v>0</v>
      </c>
      <c r="AA1640">
        <v>9</v>
      </c>
      <c r="AB1640">
        <v>3</v>
      </c>
      <c r="AC1640">
        <v>0</v>
      </c>
      <c r="AD1640">
        <v>10</v>
      </c>
      <c r="AE1640">
        <v>0</v>
      </c>
      <c r="AF1640">
        <v>3</v>
      </c>
      <c r="AG1640">
        <v>2</v>
      </c>
      <c r="AH1640">
        <v>1</v>
      </c>
      <c r="AI1640" t="s">
        <v>887</v>
      </c>
      <c r="AJ1640">
        <v>35.820644000000001</v>
      </c>
      <c r="AK1640" t="s">
        <v>888</v>
      </c>
      <c r="AL1640">
        <v>-84.023951999999994</v>
      </c>
      <c r="AM1640">
        <v>25</v>
      </c>
      <c r="AN1640">
        <v>1650</v>
      </c>
      <c r="AO1640" t="s">
        <v>118</v>
      </c>
      <c r="AP1640">
        <v>103</v>
      </c>
      <c r="AQ1640">
        <v>96</v>
      </c>
      <c r="AR1640">
        <v>128</v>
      </c>
      <c r="AZ1640">
        <v>300</v>
      </c>
      <c r="BA1640">
        <v>1</v>
      </c>
      <c r="BB1640" t="str">
        <f t="shared" si="80"/>
        <v xml:space="preserve">N162AM  </v>
      </c>
      <c r="BC1640">
        <v>1</v>
      </c>
      <c r="BE1640">
        <v>0</v>
      </c>
      <c r="BF1640">
        <v>0</v>
      </c>
      <c r="BG1640">
        <v>0</v>
      </c>
      <c r="BH1640">
        <v>1925</v>
      </c>
      <c r="BI1640">
        <v>1</v>
      </c>
      <c r="BJ1640">
        <v>1</v>
      </c>
      <c r="BK1640">
        <v>1</v>
      </c>
      <c r="BL1640">
        <v>0</v>
      </c>
      <c r="BO1640">
        <v>0</v>
      </c>
      <c r="BP1640">
        <v>0</v>
      </c>
      <c r="BW1640" t="str">
        <f>"14:51:38.620"</f>
        <v>14:51:38.620</v>
      </c>
      <c r="CJ1640">
        <v>3</v>
      </c>
      <c r="CK1640">
        <v>2</v>
      </c>
      <c r="CL1640">
        <v>0</v>
      </c>
      <c r="CM1640">
        <v>2</v>
      </c>
      <c r="CN1640">
        <v>0</v>
      </c>
      <c r="CO1640">
        <v>6</v>
      </c>
      <c r="CP1640" t="s">
        <v>119</v>
      </c>
      <c r="CQ1640">
        <v>232</v>
      </c>
      <c r="CR1640">
        <v>2</v>
      </c>
      <c r="CW1640">
        <v>6853850</v>
      </c>
      <c r="CY1640">
        <v>1</v>
      </c>
      <c r="CZ1640">
        <v>0</v>
      </c>
      <c r="DA1640">
        <v>1</v>
      </c>
      <c r="DB1640">
        <v>0</v>
      </c>
      <c r="DC1640">
        <v>0</v>
      </c>
      <c r="DD1640">
        <v>1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>"12/16/2021 14:51:38.898"</f>
        <v>12/16/2021 14:51:38.898</v>
      </c>
      <c r="C1641" t="str">
        <f t="shared" si="79"/>
        <v>FFDFD3C0</v>
      </c>
      <c r="D1641" t="s">
        <v>124</v>
      </c>
      <c r="E1641">
        <v>5</v>
      </c>
      <c r="F1641">
        <v>1005</v>
      </c>
      <c r="G1641" t="s">
        <v>114</v>
      </c>
      <c r="J1641" t="s">
        <v>125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"14:51:38.617"</f>
        <v>14:51:38.617</v>
      </c>
      <c r="T1641" t="str">
        <f>"14:51:38.217"</f>
        <v>14:51:38.217</v>
      </c>
      <c r="U1641" t="str">
        <f t="shared" si="81"/>
        <v>A0F928</v>
      </c>
      <c r="V1641">
        <v>0</v>
      </c>
      <c r="W1641">
        <v>0</v>
      </c>
      <c r="X1641">
        <v>2</v>
      </c>
      <c r="Z1641">
        <v>0</v>
      </c>
      <c r="AA1641">
        <v>9</v>
      </c>
      <c r="AB1641">
        <v>3</v>
      </c>
      <c r="AC1641">
        <v>0</v>
      </c>
      <c r="AD1641">
        <v>10</v>
      </c>
      <c r="AE1641">
        <v>0</v>
      </c>
      <c r="AF1641">
        <v>3</v>
      </c>
      <c r="AG1641">
        <v>2</v>
      </c>
      <c r="AH1641">
        <v>1</v>
      </c>
      <c r="AI1641" t="s">
        <v>887</v>
      </c>
      <c r="AJ1641">
        <v>35.820644000000001</v>
      </c>
      <c r="AK1641" t="s">
        <v>888</v>
      </c>
      <c r="AL1641">
        <v>-84.023951999999994</v>
      </c>
      <c r="AM1641">
        <v>25</v>
      </c>
      <c r="AN1641">
        <v>1650</v>
      </c>
      <c r="AO1641" t="s">
        <v>118</v>
      </c>
      <c r="AP1641">
        <v>103</v>
      </c>
      <c r="AQ1641">
        <v>96</v>
      </c>
      <c r="AR1641">
        <v>128</v>
      </c>
      <c r="AZ1641">
        <v>300</v>
      </c>
      <c r="BA1641">
        <v>1</v>
      </c>
      <c r="BB1641" t="str">
        <f t="shared" si="80"/>
        <v xml:space="preserve">N162AM  </v>
      </c>
      <c r="BC1641">
        <v>1</v>
      </c>
      <c r="BE1641">
        <v>0</v>
      </c>
      <c r="BF1641">
        <v>0</v>
      </c>
      <c r="BG1641">
        <v>0</v>
      </c>
      <c r="BH1641">
        <v>1925</v>
      </c>
      <c r="BI1641">
        <v>1</v>
      </c>
      <c r="BJ1641">
        <v>1</v>
      </c>
      <c r="BK1641">
        <v>1</v>
      </c>
      <c r="BL1641">
        <v>0</v>
      </c>
      <c r="BO1641">
        <v>0</v>
      </c>
      <c r="BP1641">
        <v>0</v>
      </c>
      <c r="BW1641" t="str">
        <f>"14:51:38.620"</f>
        <v>14:51:38.620</v>
      </c>
      <c r="CJ1641">
        <v>3</v>
      </c>
      <c r="CK1641">
        <v>2</v>
      </c>
      <c r="CL1641">
        <v>0</v>
      </c>
      <c r="CM1641">
        <v>2</v>
      </c>
      <c r="CN1641">
        <v>0</v>
      </c>
      <c r="CO1641">
        <v>6</v>
      </c>
      <c r="CP1641" t="s">
        <v>119</v>
      </c>
      <c r="CQ1641">
        <v>232</v>
      </c>
      <c r="CR1641">
        <v>2</v>
      </c>
      <c r="CW1641">
        <v>6853850</v>
      </c>
      <c r="CY1641">
        <v>1</v>
      </c>
      <c r="CZ1641">
        <v>0</v>
      </c>
      <c r="DA1641">
        <v>1</v>
      </c>
      <c r="DB1641">
        <v>0</v>
      </c>
      <c r="DC1641">
        <v>0</v>
      </c>
      <c r="DD1641">
        <v>1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>"12/16/2021 14:51:39.789"</f>
        <v>12/16/2021 14:51:39.789</v>
      </c>
      <c r="C1642" t="str">
        <f t="shared" si="79"/>
        <v>FFDFD3C0</v>
      </c>
      <c r="D1642" t="s">
        <v>124</v>
      </c>
      <c r="E1642">
        <v>10</v>
      </c>
      <c r="F1642">
        <v>1010</v>
      </c>
      <c r="G1642" t="s">
        <v>130</v>
      </c>
      <c r="J1642" t="s">
        <v>125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"14:51:39.563"</f>
        <v>14:51:39.563</v>
      </c>
      <c r="T1642" t="str">
        <f>"14:51:39.163"</f>
        <v>14:51:39.163</v>
      </c>
      <c r="U1642" t="str">
        <f t="shared" si="81"/>
        <v>A0F928</v>
      </c>
      <c r="V1642">
        <v>0</v>
      </c>
      <c r="W1642">
        <v>0</v>
      </c>
      <c r="X1642">
        <v>2</v>
      </c>
      <c r="Z1642">
        <v>0</v>
      </c>
      <c r="AA1642">
        <v>9</v>
      </c>
      <c r="AB1642">
        <v>3</v>
      </c>
      <c r="AC1642">
        <v>0</v>
      </c>
      <c r="AD1642">
        <v>10</v>
      </c>
      <c r="AE1642">
        <v>0</v>
      </c>
      <c r="AF1642">
        <v>3</v>
      </c>
      <c r="AG1642">
        <v>2</v>
      </c>
      <c r="AH1642">
        <v>1</v>
      </c>
      <c r="AI1642" t="s">
        <v>889</v>
      </c>
      <c r="AJ1642">
        <v>35.821116000000004</v>
      </c>
      <c r="AK1642" t="s">
        <v>890</v>
      </c>
      <c r="AL1642">
        <v>-84.023373000000007</v>
      </c>
      <c r="AM1642">
        <v>25</v>
      </c>
      <c r="AN1642">
        <v>1650</v>
      </c>
      <c r="AO1642" t="s">
        <v>118</v>
      </c>
      <c r="AP1642">
        <v>102</v>
      </c>
      <c r="AQ1642">
        <v>95</v>
      </c>
      <c r="AR1642">
        <v>128</v>
      </c>
      <c r="AZ1642">
        <v>300</v>
      </c>
      <c r="BA1642">
        <v>1</v>
      </c>
      <c r="BB1642" t="str">
        <f t="shared" si="80"/>
        <v xml:space="preserve">N162AM  </v>
      </c>
      <c r="BC1642">
        <v>1</v>
      </c>
      <c r="BE1642">
        <v>0</v>
      </c>
      <c r="BF1642">
        <v>0</v>
      </c>
      <c r="BG1642">
        <v>0</v>
      </c>
      <c r="BH1642">
        <v>1900</v>
      </c>
      <c r="BI1642">
        <v>1</v>
      </c>
      <c r="BJ1642">
        <v>1</v>
      </c>
      <c r="BK1642">
        <v>1</v>
      </c>
      <c r="BL1642">
        <v>0</v>
      </c>
      <c r="BO1642">
        <v>0</v>
      </c>
      <c r="BP1642">
        <v>0</v>
      </c>
      <c r="BW1642" t="str">
        <f>"14:51:39.568"</f>
        <v>14:51:39.568</v>
      </c>
      <c r="CJ1642">
        <v>3</v>
      </c>
      <c r="CK1642">
        <v>2</v>
      </c>
      <c r="CL1642">
        <v>0</v>
      </c>
      <c r="CM1642">
        <v>2</v>
      </c>
      <c r="CN1642">
        <v>0</v>
      </c>
      <c r="CO1642">
        <v>6</v>
      </c>
      <c r="CP1642" t="s">
        <v>119</v>
      </c>
      <c r="CQ1642">
        <v>232</v>
      </c>
      <c r="CR1642">
        <v>1</v>
      </c>
      <c r="CW1642">
        <v>15648995</v>
      </c>
      <c r="CY1642">
        <v>1</v>
      </c>
      <c r="CZ1642">
        <v>0</v>
      </c>
      <c r="DA1642">
        <v>0</v>
      </c>
      <c r="DB1642">
        <v>0</v>
      </c>
      <c r="DC1642">
        <v>0</v>
      </c>
      <c r="DD1642">
        <v>1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>"12/16/2021 14:51:39.789"</f>
        <v>12/16/2021 14:51:39.789</v>
      </c>
      <c r="C1643" t="str">
        <f t="shared" si="79"/>
        <v>FFDFD3C0</v>
      </c>
      <c r="D1643" t="s">
        <v>124</v>
      </c>
      <c r="E1643">
        <v>5</v>
      </c>
      <c r="F1643">
        <v>1005</v>
      </c>
      <c r="G1643" t="s">
        <v>114</v>
      </c>
      <c r="J1643" t="s">
        <v>125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"14:51:39.563"</f>
        <v>14:51:39.563</v>
      </c>
      <c r="T1643" t="str">
        <f>"14:51:39.163"</f>
        <v>14:51:39.163</v>
      </c>
      <c r="U1643" t="str">
        <f t="shared" si="81"/>
        <v>A0F928</v>
      </c>
      <c r="V1643">
        <v>0</v>
      </c>
      <c r="W1643">
        <v>0</v>
      </c>
      <c r="X1643">
        <v>2</v>
      </c>
      <c r="Z1643">
        <v>0</v>
      </c>
      <c r="AA1643">
        <v>9</v>
      </c>
      <c r="AB1643">
        <v>3</v>
      </c>
      <c r="AC1643">
        <v>0</v>
      </c>
      <c r="AD1643">
        <v>10</v>
      </c>
      <c r="AE1643">
        <v>0</v>
      </c>
      <c r="AF1643">
        <v>3</v>
      </c>
      <c r="AG1643">
        <v>2</v>
      </c>
      <c r="AH1643">
        <v>1</v>
      </c>
      <c r="AI1643" t="s">
        <v>889</v>
      </c>
      <c r="AJ1643">
        <v>35.821116000000004</v>
      </c>
      <c r="AK1643" t="s">
        <v>890</v>
      </c>
      <c r="AL1643">
        <v>-84.023373000000007</v>
      </c>
      <c r="AM1643">
        <v>25</v>
      </c>
      <c r="AN1643">
        <v>1650</v>
      </c>
      <c r="AO1643" t="s">
        <v>118</v>
      </c>
      <c r="AP1643">
        <v>102</v>
      </c>
      <c r="AQ1643">
        <v>95</v>
      </c>
      <c r="AR1643">
        <v>128</v>
      </c>
      <c r="AZ1643">
        <v>300</v>
      </c>
      <c r="BA1643">
        <v>1</v>
      </c>
      <c r="BB1643" t="str">
        <f t="shared" si="80"/>
        <v xml:space="preserve">N162AM  </v>
      </c>
      <c r="BC1643">
        <v>1</v>
      </c>
      <c r="BE1643">
        <v>0</v>
      </c>
      <c r="BF1643">
        <v>0</v>
      </c>
      <c r="BG1643">
        <v>0</v>
      </c>
      <c r="BH1643">
        <v>1900</v>
      </c>
      <c r="BI1643">
        <v>1</v>
      </c>
      <c r="BJ1643">
        <v>1</v>
      </c>
      <c r="BK1643">
        <v>1</v>
      </c>
      <c r="BL1643">
        <v>0</v>
      </c>
      <c r="BO1643">
        <v>0</v>
      </c>
      <c r="BP1643">
        <v>0</v>
      </c>
      <c r="BW1643" t="str">
        <f>"14:51:39.568"</f>
        <v>14:51:39.568</v>
      </c>
      <c r="CJ1643">
        <v>3</v>
      </c>
      <c r="CK1643">
        <v>2</v>
      </c>
      <c r="CL1643">
        <v>0</v>
      </c>
      <c r="CM1643">
        <v>2</v>
      </c>
      <c r="CN1643">
        <v>0</v>
      </c>
      <c r="CO1643">
        <v>6</v>
      </c>
      <c r="CP1643" t="s">
        <v>119</v>
      </c>
      <c r="CQ1643">
        <v>232</v>
      </c>
      <c r="CR1643">
        <v>1</v>
      </c>
      <c r="CW1643">
        <v>15648995</v>
      </c>
      <c r="CY1643">
        <v>1</v>
      </c>
      <c r="CZ1643">
        <v>0</v>
      </c>
      <c r="DA1643">
        <v>1</v>
      </c>
      <c r="DB1643">
        <v>0</v>
      </c>
      <c r="DC1643">
        <v>0</v>
      </c>
      <c r="DD1643">
        <v>1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>"12/16/2021 14:51:39.836"</f>
        <v>12/16/2021 14:51:39.836</v>
      </c>
      <c r="C1644" t="str">
        <f t="shared" si="79"/>
        <v>FFDFD3C0</v>
      </c>
      <c r="D1644" t="s">
        <v>113</v>
      </c>
      <c r="E1644">
        <v>8</v>
      </c>
      <c r="H1644">
        <v>176</v>
      </c>
      <c r="I1644" t="s">
        <v>114</v>
      </c>
      <c r="J1644" t="s">
        <v>115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"14:51:39.563"</f>
        <v>14:51:39.563</v>
      </c>
      <c r="T1644" t="str">
        <f>"14:51:39.163"</f>
        <v>14:51:39.163</v>
      </c>
      <c r="U1644" t="str">
        <f t="shared" si="81"/>
        <v>A0F928</v>
      </c>
      <c r="V1644">
        <v>0</v>
      </c>
      <c r="W1644">
        <v>0</v>
      </c>
      <c r="X1644">
        <v>2</v>
      </c>
      <c r="Z1644">
        <v>0</v>
      </c>
      <c r="AA1644">
        <v>9</v>
      </c>
      <c r="AB1644">
        <v>3</v>
      </c>
      <c r="AC1644">
        <v>0</v>
      </c>
      <c r="AD1644">
        <v>10</v>
      </c>
      <c r="AE1644">
        <v>0</v>
      </c>
      <c r="AF1644">
        <v>3</v>
      </c>
      <c r="AG1644">
        <v>2</v>
      </c>
      <c r="AH1644">
        <v>1</v>
      </c>
      <c r="AI1644" t="s">
        <v>889</v>
      </c>
      <c r="AJ1644">
        <v>35.821116000000004</v>
      </c>
      <c r="AK1644" t="s">
        <v>890</v>
      </c>
      <c r="AL1644">
        <v>-84.023373000000007</v>
      </c>
      <c r="AM1644">
        <v>25</v>
      </c>
      <c r="AN1644">
        <v>1650</v>
      </c>
      <c r="AO1644" t="s">
        <v>118</v>
      </c>
      <c r="AP1644">
        <v>102</v>
      </c>
      <c r="AQ1644">
        <v>95</v>
      </c>
      <c r="AR1644">
        <v>128</v>
      </c>
      <c r="AZ1644">
        <v>300</v>
      </c>
      <c r="BA1644">
        <v>1</v>
      </c>
      <c r="BB1644" t="str">
        <f t="shared" si="80"/>
        <v xml:space="preserve">N162AM  </v>
      </c>
      <c r="BC1644">
        <v>1</v>
      </c>
      <c r="BE1644">
        <v>0</v>
      </c>
      <c r="BF1644">
        <v>0</v>
      </c>
      <c r="BG1644">
        <v>0</v>
      </c>
      <c r="BH1644">
        <v>1900</v>
      </c>
      <c r="BI1644">
        <v>1</v>
      </c>
      <c r="BJ1644">
        <v>1</v>
      </c>
      <c r="BK1644">
        <v>1</v>
      </c>
      <c r="BL1644">
        <v>0</v>
      </c>
      <c r="BO1644">
        <v>0</v>
      </c>
      <c r="BP1644">
        <v>0</v>
      </c>
      <c r="BW1644" t="str">
        <f>"14:51:39.568"</f>
        <v>14:51:39.568</v>
      </c>
      <c r="CJ1644">
        <v>3</v>
      </c>
      <c r="CK1644">
        <v>2</v>
      </c>
      <c r="CL1644">
        <v>0</v>
      </c>
      <c r="CM1644">
        <v>2</v>
      </c>
      <c r="CN1644">
        <v>0</v>
      </c>
      <c r="CO1644">
        <v>6</v>
      </c>
      <c r="CP1644" t="s">
        <v>119</v>
      </c>
      <c r="CQ1644">
        <v>232</v>
      </c>
      <c r="CR1644">
        <v>1</v>
      </c>
      <c r="CW1644">
        <v>15648995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1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>"12/16/2021 14:51:39.836"</f>
        <v>12/16/2021 14:51:39.836</v>
      </c>
      <c r="C1645" t="str">
        <f t="shared" si="79"/>
        <v>FFDFD3C0</v>
      </c>
      <c r="D1645" t="s">
        <v>133</v>
      </c>
      <c r="E1645">
        <v>44</v>
      </c>
      <c r="H1645">
        <v>131</v>
      </c>
      <c r="I1645" t="s">
        <v>134</v>
      </c>
      <c r="J1645" t="s">
        <v>135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"14:51:39.563"</f>
        <v>14:51:39.563</v>
      </c>
      <c r="T1645" t="str">
        <f>"14:51:39.163"</f>
        <v>14:51:39.163</v>
      </c>
      <c r="U1645" t="str">
        <f t="shared" si="81"/>
        <v>A0F928</v>
      </c>
      <c r="V1645">
        <v>0</v>
      </c>
      <c r="W1645">
        <v>0</v>
      </c>
      <c r="X1645">
        <v>2</v>
      </c>
      <c r="Z1645">
        <v>0</v>
      </c>
      <c r="AA1645">
        <v>9</v>
      </c>
      <c r="AB1645">
        <v>3</v>
      </c>
      <c r="AC1645">
        <v>0</v>
      </c>
      <c r="AD1645">
        <v>10</v>
      </c>
      <c r="AE1645">
        <v>0</v>
      </c>
      <c r="AF1645">
        <v>3</v>
      </c>
      <c r="AG1645">
        <v>2</v>
      </c>
      <c r="AH1645">
        <v>1</v>
      </c>
      <c r="AI1645" t="s">
        <v>889</v>
      </c>
      <c r="AJ1645">
        <v>35.821116000000004</v>
      </c>
      <c r="AK1645" t="s">
        <v>890</v>
      </c>
      <c r="AL1645">
        <v>-84.023373000000007</v>
      </c>
      <c r="AM1645">
        <v>25</v>
      </c>
      <c r="AN1645">
        <v>1650</v>
      </c>
      <c r="AO1645" t="s">
        <v>118</v>
      </c>
      <c r="AP1645">
        <v>102</v>
      </c>
      <c r="AQ1645">
        <v>95</v>
      </c>
      <c r="AR1645">
        <v>128</v>
      </c>
      <c r="AZ1645">
        <v>300</v>
      </c>
      <c r="BA1645">
        <v>1</v>
      </c>
      <c r="BB1645" t="str">
        <f t="shared" si="80"/>
        <v xml:space="preserve">N162AM  </v>
      </c>
      <c r="BC1645">
        <v>1</v>
      </c>
      <c r="BE1645">
        <v>0</v>
      </c>
      <c r="BF1645">
        <v>0</v>
      </c>
      <c r="BG1645">
        <v>0</v>
      </c>
      <c r="BH1645">
        <v>1900</v>
      </c>
      <c r="BI1645">
        <v>1</v>
      </c>
      <c r="BJ1645">
        <v>1</v>
      </c>
      <c r="BK1645">
        <v>1</v>
      </c>
      <c r="BL1645">
        <v>0</v>
      </c>
      <c r="BO1645">
        <v>0</v>
      </c>
      <c r="BP1645">
        <v>0</v>
      </c>
      <c r="BW1645" t="str">
        <f>"14:51:39.568"</f>
        <v>14:51:39.568</v>
      </c>
      <c r="CJ1645">
        <v>3</v>
      </c>
      <c r="CK1645">
        <v>2</v>
      </c>
      <c r="CL1645">
        <v>0</v>
      </c>
      <c r="CM1645">
        <v>2</v>
      </c>
      <c r="CN1645">
        <v>0</v>
      </c>
      <c r="CO1645">
        <v>6</v>
      </c>
      <c r="CP1645" t="s">
        <v>119</v>
      </c>
      <c r="CQ1645">
        <v>232</v>
      </c>
      <c r="CR1645">
        <v>1</v>
      </c>
      <c r="CW1645">
        <v>15648995</v>
      </c>
      <c r="CY1645">
        <v>1</v>
      </c>
      <c r="CZ1645">
        <v>0</v>
      </c>
      <c r="DA1645">
        <v>1</v>
      </c>
      <c r="DB1645">
        <v>0</v>
      </c>
      <c r="DC1645">
        <v>0</v>
      </c>
      <c r="DD1645">
        <v>1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>"12/16/2021 14:51:40.726"</f>
        <v>12/16/2021 14:51:40.726</v>
      </c>
      <c r="C1646" t="str">
        <f t="shared" ref="C1646:C1709" si="82">"FFDFD3C0"</f>
        <v>FFDFD3C0</v>
      </c>
      <c r="D1646" t="s">
        <v>133</v>
      </c>
      <c r="E1646">
        <v>44</v>
      </c>
      <c r="H1646">
        <v>131</v>
      </c>
      <c r="I1646" t="s">
        <v>134</v>
      </c>
      <c r="J1646" t="s">
        <v>135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"14:51:40.484"</f>
        <v>14:51:40.484</v>
      </c>
      <c r="T1646" t="str">
        <f>"14:51:40.084"</f>
        <v>14:51:40.084</v>
      </c>
      <c r="U1646" t="str">
        <f t="shared" si="81"/>
        <v>A0F928</v>
      </c>
      <c r="V1646">
        <v>0</v>
      </c>
      <c r="W1646">
        <v>0</v>
      </c>
      <c r="X1646">
        <v>2</v>
      </c>
      <c r="Z1646">
        <v>0</v>
      </c>
      <c r="AA1646">
        <v>9</v>
      </c>
      <c r="AB1646">
        <v>3</v>
      </c>
      <c r="AC1646">
        <v>0</v>
      </c>
      <c r="AD1646">
        <v>10</v>
      </c>
      <c r="AE1646">
        <v>0</v>
      </c>
      <c r="AF1646">
        <v>3</v>
      </c>
      <c r="AG1646">
        <v>2</v>
      </c>
      <c r="AH1646">
        <v>1</v>
      </c>
      <c r="AI1646" t="s">
        <v>891</v>
      </c>
      <c r="AJ1646">
        <v>35.821480999999999</v>
      </c>
      <c r="AK1646" t="s">
        <v>892</v>
      </c>
      <c r="AL1646">
        <v>-84.022857999999999</v>
      </c>
      <c r="AM1646">
        <v>25</v>
      </c>
      <c r="AN1646">
        <v>1650</v>
      </c>
      <c r="AO1646" t="s">
        <v>118</v>
      </c>
      <c r="AP1646">
        <v>102</v>
      </c>
      <c r="AQ1646">
        <v>94</v>
      </c>
      <c r="AR1646">
        <v>128</v>
      </c>
      <c r="AZ1646">
        <v>300</v>
      </c>
      <c r="BA1646">
        <v>1</v>
      </c>
      <c r="BB1646" t="str">
        <f t="shared" ref="BB1646:BB1709" si="83">"N162AM  "</f>
        <v xml:space="preserve">N162AM  </v>
      </c>
      <c r="BC1646">
        <v>1</v>
      </c>
      <c r="BE1646">
        <v>0</v>
      </c>
      <c r="BF1646">
        <v>0</v>
      </c>
      <c r="BG1646">
        <v>0</v>
      </c>
      <c r="BH1646">
        <v>1900</v>
      </c>
      <c r="BI1646">
        <v>1</v>
      </c>
      <c r="BJ1646">
        <v>1</v>
      </c>
      <c r="BK1646">
        <v>1</v>
      </c>
      <c r="BL1646">
        <v>0</v>
      </c>
      <c r="BO1646">
        <v>0</v>
      </c>
      <c r="BP1646">
        <v>0</v>
      </c>
      <c r="BW1646" t="str">
        <f>"14:51:40.488"</f>
        <v>14:51:40.488</v>
      </c>
      <c r="CJ1646">
        <v>3</v>
      </c>
      <c r="CK1646">
        <v>2</v>
      </c>
      <c r="CL1646">
        <v>0</v>
      </c>
      <c r="CM1646">
        <v>2</v>
      </c>
      <c r="CN1646">
        <v>0</v>
      </c>
      <c r="CO1646">
        <v>6</v>
      </c>
      <c r="CP1646" t="s">
        <v>119</v>
      </c>
      <c r="CQ1646">
        <v>232</v>
      </c>
      <c r="CR1646">
        <v>1</v>
      </c>
      <c r="CW1646">
        <v>15650389</v>
      </c>
      <c r="CY1646">
        <v>1</v>
      </c>
      <c r="CZ1646">
        <v>0</v>
      </c>
      <c r="DA1646">
        <v>0</v>
      </c>
      <c r="DB1646">
        <v>0</v>
      </c>
      <c r="DC1646">
        <v>0</v>
      </c>
      <c r="DD1646">
        <v>1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>"12/16/2021 14:51:40.726"</f>
        <v>12/16/2021 14:51:40.726</v>
      </c>
      <c r="C1647" t="str">
        <f t="shared" si="82"/>
        <v>FFDFD3C0</v>
      </c>
      <c r="D1647" t="s">
        <v>113</v>
      </c>
      <c r="E1647">
        <v>8</v>
      </c>
      <c r="H1647">
        <v>176</v>
      </c>
      <c r="I1647" t="s">
        <v>114</v>
      </c>
      <c r="J1647" t="s">
        <v>115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>"14:51:40.484"</f>
        <v>14:51:40.484</v>
      </c>
      <c r="T1647" t="str">
        <f>"14:51:40.084"</f>
        <v>14:51:40.084</v>
      </c>
      <c r="U1647" t="str">
        <f t="shared" si="81"/>
        <v>A0F928</v>
      </c>
      <c r="V1647">
        <v>0</v>
      </c>
      <c r="W1647">
        <v>0</v>
      </c>
      <c r="X1647">
        <v>2</v>
      </c>
      <c r="Z1647">
        <v>0</v>
      </c>
      <c r="AA1647">
        <v>9</v>
      </c>
      <c r="AB1647">
        <v>3</v>
      </c>
      <c r="AC1647">
        <v>0</v>
      </c>
      <c r="AD1647">
        <v>10</v>
      </c>
      <c r="AE1647">
        <v>0</v>
      </c>
      <c r="AF1647">
        <v>3</v>
      </c>
      <c r="AG1647">
        <v>2</v>
      </c>
      <c r="AH1647">
        <v>1</v>
      </c>
      <c r="AI1647" t="s">
        <v>891</v>
      </c>
      <c r="AJ1647">
        <v>35.821480999999999</v>
      </c>
      <c r="AK1647" t="s">
        <v>892</v>
      </c>
      <c r="AL1647">
        <v>-84.022857999999999</v>
      </c>
      <c r="AM1647">
        <v>25</v>
      </c>
      <c r="AN1647">
        <v>1650</v>
      </c>
      <c r="AO1647" t="s">
        <v>118</v>
      </c>
      <c r="AP1647">
        <v>102</v>
      </c>
      <c r="AQ1647">
        <v>94</v>
      </c>
      <c r="AR1647">
        <v>128</v>
      </c>
      <c r="AZ1647">
        <v>300</v>
      </c>
      <c r="BA1647">
        <v>1</v>
      </c>
      <c r="BB1647" t="str">
        <f t="shared" si="83"/>
        <v xml:space="preserve">N162AM  </v>
      </c>
      <c r="BC1647">
        <v>1</v>
      </c>
      <c r="BE1647">
        <v>0</v>
      </c>
      <c r="BF1647">
        <v>0</v>
      </c>
      <c r="BG1647">
        <v>0</v>
      </c>
      <c r="BH1647">
        <v>1900</v>
      </c>
      <c r="BI1647">
        <v>1</v>
      </c>
      <c r="BJ1647">
        <v>1</v>
      </c>
      <c r="BK1647">
        <v>1</v>
      </c>
      <c r="BL1647">
        <v>0</v>
      </c>
      <c r="BO1647">
        <v>0</v>
      </c>
      <c r="BP1647">
        <v>0</v>
      </c>
      <c r="BW1647" t="str">
        <f>"14:51:40.488"</f>
        <v>14:51:40.488</v>
      </c>
      <c r="CJ1647">
        <v>3</v>
      </c>
      <c r="CK1647">
        <v>2</v>
      </c>
      <c r="CL1647">
        <v>0</v>
      </c>
      <c r="CM1647">
        <v>2</v>
      </c>
      <c r="CN1647">
        <v>0</v>
      </c>
      <c r="CO1647">
        <v>6</v>
      </c>
      <c r="CP1647" t="s">
        <v>119</v>
      </c>
      <c r="CQ1647">
        <v>232</v>
      </c>
      <c r="CR1647">
        <v>1</v>
      </c>
      <c r="CW1647">
        <v>15650389</v>
      </c>
      <c r="CY1647">
        <v>1</v>
      </c>
      <c r="CZ1647">
        <v>0</v>
      </c>
      <c r="DA1647">
        <v>1</v>
      </c>
      <c r="DB1647">
        <v>0</v>
      </c>
      <c r="DC1647">
        <v>0</v>
      </c>
      <c r="DD1647">
        <v>1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>"12/16/2021 14:51:40.726"</f>
        <v>12/16/2021 14:51:40.726</v>
      </c>
      <c r="C1648" t="str">
        <f t="shared" si="82"/>
        <v>FFDFD3C0</v>
      </c>
      <c r="D1648" t="s">
        <v>124</v>
      </c>
      <c r="E1648">
        <v>10</v>
      </c>
      <c r="F1648">
        <v>1010</v>
      </c>
      <c r="G1648" t="s">
        <v>130</v>
      </c>
      <c r="J1648" t="s">
        <v>125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"14:51:40.484"</f>
        <v>14:51:40.484</v>
      </c>
      <c r="T1648" t="str">
        <f>"14:51:40.084"</f>
        <v>14:51:40.084</v>
      </c>
      <c r="U1648" t="str">
        <f t="shared" si="81"/>
        <v>A0F928</v>
      </c>
      <c r="V1648">
        <v>0</v>
      </c>
      <c r="W1648">
        <v>0</v>
      </c>
      <c r="X1648">
        <v>2</v>
      </c>
      <c r="Z1648">
        <v>0</v>
      </c>
      <c r="AA1648">
        <v>9</v>
      </c>
      <c r="AB1648">
        <v>3</v>
      </c>
      <c r="AC1648">
        <v>0</v>
      </c>
      <c r="AD1648">
        <v>10</v>
      </c>
      <c r="AE1648">
        <v>0</v>
      </c>
      <c r="AF1648">
        <v>3</v>
      </c>
      <c r="AG1648">
        <v>2</v>
      </c>
      <c r="AH1648">
        <v>1</v>
      </c>
      <c r="AI1648" t="s">
        <v>891</v>
      </c>
      <c r="AJ1648">
        <v>35.821480999999999</v>
      </c>
      <c r="AK1648" t="s">
        <v>892</v>
      </c>
      <c r="AL1648">
        <v>-84.022857999999999</v>
      </c>
      <c r="AM1648">
        <v>25</v>
      </c>
      <c r="AN1648">
        <v>1650</v>
      </c>
      <c r="AO1648" t="s">
        <v>118</v>
      </c>
      <c r="AP1648">
        <v>102</v>
      </c>
      <c r="AQ1648">
        <v>94</v>
      </c>
      <c r="AR1648">
        <v>128</v>
      </c>
      <c r="AZ1648">
        <v>300</v>
      </c>
      <c r="BA1648">
        <v>1</v>
      </c>
      <c r="BB1648" t="str">
        <f t="shared" si="83"/>
        <v xml:space="preserve">N162AM  </v>
      </c>
      <c r="BC1648">
        <v>1</v>
      </c>
      <c r="BE1648">
        <v>0</v>
      </c>
      <c r="BF1648">
        <v>0</v>
      </c>
      <c r="BG1648">
        <v>0</v>
      </c>
      <c r="BH1648">
        <v>1900</v>
      </c>
      <c r="BI1648">
        <v>1</v>
      </c>
      <c r="BJ1648">
        <v>1</v>
      </c>
      <c r="BK1648">
        <v>1</v>
      </c>
      <c r="BL1648">
        <v>0</v>
      </c>
      <c r="BO1648">
        <v>0</v>
      </c>
      <c r="BP1648">
        <v>0</v>
      </c>
      <c r="BW1648" t="str">
        <f>"14:51:40.488"</f>
        <v>14:51:40.488</v>
      </c>
      <c r="CJ1648">
        <v>3</v>
      </c>
      <c r="CK1648">
        <v>2</v>
      </c>
      <c r="CL1648">
        <v>0</v>
      </c>
      <c r="CM1648">
        <v>2</v>
      </c>
      <c r="CN1648">
        <v>0</v>
      </c>
      <c r="CO1648">
        <v>6</v>
      </c>
      <c r="CP1648" t="s">
        <v>119</v>
      </c>
      <c r="CQ1648">
        <v>232</v>
      </c>
      <c r="CR1648">
        <v>1</v>
      </c>
      <c r="CW1648">
        <v>15650389</v>
      </c>
      <c r="CY1648">
        <v>1</v>
      </c>
      <c r="CZ1648">
        <v>0</v>
      </c>
      <c r="DA1648">
        <v>1</v>
      </c>
      <c r="DB1648">
        <v>0</v>
      </c>
      <c r="DC1648">
        <v>0</v>
      </c>
      <c r="DD1648">
        <v>1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>"12/16/2021 14:51:40.773"</f>
        <v>12/16/2021 14:51:40.773</v>
      </c>
      <c r="C1649" t="str">
        <f t="shared" si="82"/>
        <v>FFDFD3C0</v>
      </c>
      <c r="D1649" t="s">
        <v>124</v>
      </c>
      <c r="E1649">
        <v>5</v>
      </c>
      <c r="F1649">
        <v>1005</v>
      </c>
      <c r="G1649" t="s">
        <v>114</v>
      </c>
      <c r="J1649" t="s">
        <v>125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"14:51:40.484"</f>
        <v>14:51:40.484</v>
      </c>
      <c r="T1649" t="str">
        <f>"14:51:40.084"</f>
        <v>14:51:40.084</v>
      </c>
      <c r="U1649" t="str">
        <f t="shared" si="81"/>
        <v>A0F928</v>
      </c>
      <c r="V1649">
        <v>0</v>
      </c>
      <c r="W1649">
        <v>0</v>
      </c>
      <c r="X1649">
        <v>2</v>
      </c>
      <c r="Z1649">
        <v>0</v>
      </c>
      <c r="AA1649">
        <v>9</v>
      </c>
      <c r="AB1649">
        <v>3</v>
      </c>
      <c r="AC1649">
        <v>0</v>
      </c>
      <c r="AD1649">
        <v>10</v>
      </c>
      <c r="AE1649">
        <v>0</v>
      </c>
      <c r="AF1649">
        <v>3</v>
      </c>
      <c r="AG1649">
        <v>2</v>
      </c>
      <c r="AH1649">
        <v>1</v>
      </c>
      <c r="AI1649" t="s">
        <v>891</v>
      </c>
      <c r="AJ1649">
        <v>35.821480999999999</v>
      </c>
      <c r="AK1649" t="s">
        <v>892</v>
      </c>
      <c r="AL1649">
        <v>-84.022857999999999</v>
      </c>
      <c r="AM1649">
        <v>25</v>
      </c>
      <c r="AN1649">
        <v>1650</v>
      </c>
      <c r="AO1649" t="s">
        <v>118</v>
      </c>
      <c r="AP1649">
        <v>102</v>
      </c>
      <c r="AQ1649">
        <v>94</v>
      </c>
      <c r="AR1649">
        <v>128</v>
      </c>
      <c r="AZ1649">
        <v>300</v>
      </c>
      <c r="BA1649">
        <v>1</v>
      </c>
      <c r="BB1649" t="str">
        <f t="shared" si="83"/>
        <v xml:space="preserve">N162AM  </v>
      </c>
      <c r="BC1649">
        <v>1</v>
      </c>
      <c r="BE1649">
        <v>0</v>
      </c>
      <c r="BF1649">
        <v>0</v>
      </c>
      <c r="BG1649">
        <v>0</v>
      </c>
      <c r="BH1649">
        <v>1900</v>
      </c>
      <c r="BI1649">
        <v>1</v>
      </c>
      <c r="BJ1649">
        <v>1</v>
      </c>
      <c r="BK1649">
        <v>1</v>
      </c>
      <c r="BL1649">
        <v>0</v>
      </c>
      <c r="BO1649">
        <v>0</v>
      </c>
      <c r="BP1649">
        <v>0</v>
      </c>
      <c r="BW1649" t="str">
        <f>"14:51:40.488"</f>
        <v>14:51:40.488</v>
      </c>
      <c r="CJ1649">
        <v>3</v>
      </c>
      <c r="CK1649">
        <v>2</v>
      </c>
      <c r="CL1649">
        <v>0</v>
      </c>
      <c r="CM1649">
        <v>2</v>
      </c>
      <c r="CN1649">
        <v>0</v>
      </c>
      <c r="CO1649">
        <v>6</v>
      </c>
      <c r="CP1649" t="s">
        <v>119</v>
      </c>
      <c r="CQ1649">
        <v>232</v>
      </c>
      <c r="CR1649">
        <v>1</v>
      </c>
      <c r="CW1649">
        <v>15650389</v>
      </c>
      <c r="CY1649">
        <v>1</v>
      </c>
      <c r="CZ1649">
        <v>0</v>
      </c>
      <c r="DA1649">
        <v>1</v>
      </c>
      <c r="DB1649">
        <v>0</v>
      </c>
      <c r="DC1649">
        <v>0</v>
      </c>
      <c r="DD1649">
        <v>1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>"12/16/2021 14:51:41.727"</f>
        <v>12/16/2021 14:51:41.727</v>
      </c>
      <c r="C1650" t="str">
        <f t="shared" si="82"/>
        <v>FFDFD3C0</v>
      </c>
      <c r="D1650" t="s">
        <v>113</v>
      </c>
      <c r="E1650">
        <v>8</v>
      </c>
      <c r="H1650">
        <v>176</v>
      </c>
      <c r="I1650" t="s">
        <v>114</v>
      </c>
      <c r="J1650" t="s">
        <v>115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"14:51:41.547"</f>
        <v>14:51:41.547</v>
      </c>
      <c r="T1650" t="str">
        <f>"14:51:41.147"</f>
        <v>14:51:41.147</v>
      </c>
      <c r="U1650" t="str">
        <f t="shared" si="81"/>
        <v>A0F928</v>
      </c>
      <c r="V1650">
        <v>0</v>
      </c>
      <c r="W1650">
        <v>0</v>
      </c>
      <c r="X1650">
        <v>2</v>
      </c>
      <c r="Z1650">
        <v>0</v>
      </c>
      <c r="AA1650">
        <v>9</v>
      </c>
      <c r="AB1650">
        <v>3</v>
      </c>
      <c r="AC1650">
        <v>0</v>
      </c>
      <c r="AD1650">
        <v>10</v>
      </c>
      <c r="AE1650">
        <v>0</v>
      </c>
      <c r="AF1650">
        <v>3</v>
      </c>
      <c r="AG1650">
        <v>2</v>
      </c>
      <c r="AH1650">
        <v>1</v>
      </c>
      <c r="AI1650" t="s">
        <v>893</v>
      </c>
      <c r="AJ1650">
        <v>35.821973999999997</v>
      </c>
      <c r="AK1650" t="s">
        <v>741</v>
      </c>
      <c r="AL1650">
        <v>-84.022236000000007</v>
      </c>
      <c r="AM1650">
        <v>25</v>
      </c>
      <c r="AN1650">
        <v>1650</v>
      </c>
      <c r="AO1650" t="s">
        <v>118</v>
      </c>
      <c r="AP1650">
        <v>102</v>
      </c>
      <c r="AQ1650">
        <v>93</v>
      </c>
      <c r="AR1650">
        <v>128</v>
      </c>
      <c r="AZ1650">
        <v>300</v>
      </c>
      <c r="BA1650">
        <v>1</v>
      </c>
      <c r="BB1650" t="str">
        <f t="shared" si="83"/>
        <v xml:space="preserve">N162AM  </v>
      </c>
      <c r="BC1650">
        <v>1</v>
      </c>
      <c r="BE1650">
        <v>0</v>
      </c>
      <c r="BF1650">
        <v>0</v>
      </c>
      <c r="BG1650">
        <v>0</v>
      </c>
      <c r="BH1650">
        <v>1925</v>
      </c>
      <c r="BI1650">
        <v>1</v>
      </c>
      <c r="BJ1650">
        <v>1</v>
      </c>
      <c r="BK1650">
        <v>1</v>
      </c>
      <c r="BL1650">
        <v>0</v>
      </c>
      <c r="BO1650">
        <v>0</v>
      </c>
      <c r="BP1650">
        <v>0</v>
      </c>
      <c r="BW1650" t="str">
        <f>"14:51:41.554"</f>
        <v>14:51:41.554</v>
      </c>
      <c r="CJ1650">
        <v>3</v>
      </c>
      <c r="CK1650">
        <v>2</v>
      </c>
      <c r="CL1650">
        <v>0</v>
      </c>
      <c r="CM1650">
        <v>2</v>
      </c>
      <c r="CN1650">
        <v>0</v>
      </c>
      <c r="CO1650">
        <v>7</v>
      </c>
      <c r="CP1650" t="s">
        <v>119</v>
      </c>
      <c r="CQ1650">
        <v>232</v>
      </c>
      <c r="CR1650">
        <v>2</v>
      </c>
      <c r="CW1650">
        <v>6858497</v>
      </c>
      <c r="CY1650">
        <v>1</v>
      </c>
      <c r="CZ1650">
        <v>0</v>
      </c>
      <c r="DA1650">
        <v>0</v>
      </c>
      <c r="DB1650">
        <v>0</v>
      </c>
      <c r="DC1650">
        <v>0</v>
      </c>
      <c r="DD1650">
        <v>1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>"12/16/2021 14:51:41.727"</f>
        <v>12/16/2021 14:51:41.727</v>
      </c>
      <c r="C1651" t="str">
        <f t="shared" si="82"/>
        <v>FFDFD3C0</v>
      </c>
      <c r="D1651" t="s">
        <v>124</v>
      </c>
      <c r="E1651">
        <v>10</v>
      </c>
      <c r="F1651">
        <v>1010</v>
      </c>
      <c r="G1651" t="s">
        <v>130</v>
      </c>
      <c r="J1651" t="s">
        <v>125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"14:51:41.547"</f>
        <v>14:51:41.547</v>
      </c>
      <c r="T1651" t="str">
        <f>"14:51:41.147"</f>
        <v>14:51:41.147</v>
      </c>
      <c r="U1651" t="str">
        <f t="shared" si="81"/>
        <v>A0F928</v>
      </c>
      <c r="V1651">
        <v>0</v>
      </c>
      <c r="W1651">
        <v>0</v>
      </c>
      <c r="X1651">
        <v>2</v>
      </c>
      <c r="Z1651">
        <v>0</v>
      </c>
      <c r="AA1651">
        <v>9</v>
      </c>
      <c r="AB1651">
        <v>3</v>
      </c>
      <c r="AC1651">
        <v>0</v>
      </c>
      <c r="AD1651">
        <v>10</v>
      </c>
      <c r="AE1651">
        <v>0</v>
      </c>
      <c r="AF1651">
        <v>3</v>
      </c>
      <c r="AG1651">
        <v>2</v>
      </c>
      <c r="AH1651">
        <v>1</v>
      </c>
      <c r="AI1651" t="s">
        <v>893</v>
      </c>
      <c r="AJ1651">
        <v>35.821973999999997</v>
      </c>
      <c r="AK1651" t="s">
        <v>741</v>
      </c>
      <c r="AL1651">
        <v>-84.022236000000007</v>
      </c>
      <c r="AM1651">
        <v>25</v>
      </c>
      <c r="AN1651">
        <v>1650</v>
      </c>
      <c r="AO1651" t="s">
        <v>118</v>
      </c>
      <c r="AP1651">
        <v>102</v>
      </c>
      <c r="AQ1651">
        <v>93</v>
      </c>
      <c r="AR1651">
        <v>128</v>
      </c>
      <c r="AZ1651">
        <v>300</v>
      </c>
      <c r="BA1651">
        <v>1</v>
      </c>
      <c r="BB1651" t="str">
        <f t="shared" si="83"/>
        <v xml:space="preserve">N162AM  </v>
      </c>
      <c r="BC1651">
        <v>1</v>
      </c>
      <c r="BE1651">
        <v>0</v>
      </c>
      <c r="BF1651">
        <v>0</v>
      </c>
      <c r="BG1651">
        <v>0</v>
      </c>
      <c r="BH1651">
        <v>1925</v>
      </c>
      <c r="BI1651">
        <v>1</v>
      </c>
      <c r="BJ1651">
        <v>1</v>
      </c>
      <c r="BK1651">
        <v>1</v>
      </c>
      <c r="BL1651">
        <v>0</v>
      </c>
      <c r="BO1651">
        <v>0</v>
      </c>
      <c r="BP1651">
        <v>0</v>
      </c>
      <c r="BW1651" t="str">
        <f>"14:51:41.554"</f>
        <v>14:51:41.554</v>
      </c>
      <c r="CJ1651">
        <v>3</v>
      </c>
      <c r="CK1651">
        <v>2</v>
      </c>
      <c r="CL1651">
        <v>0</v>
      </c>
      <c r="CM1651">
        <v>2</v>
      </c>
      <c r="CN1651">
        <v>0</v>
      </c>
      <c r="CO1651">
        <v>7</v>
      </c>
      <c r="CP1651" t="s">
        <v>119</v>
      </c>
      <c r="CQ1651">
        <v>232</v>
      </c>
      <c r="CR1651">
        <v>2</v>
      </c>
      <c r="CW1651">
        <v>6858497</v>
      </c>
      <c r="CY1651">
        <v>1</v>
      </c>
      <c r="CZ1651">
        <v>0</v>
      </c>
      <c r="DA1651">
        <v>1</v>
      </c>
      <c r="DB1651">
        <v>0</v>
      </c>
      <c r="DC1651">
        <v>0</v>
      </c>
      <c r="DD1651">
        <v>1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>"12/16/2021 14:51:41.742"</f>
        <v>12/16/2021 14:51:41.742</v>
      </c>
      <c r="C1652" t="str">
        <f t="shared" si="82"/>
        <v>FFDFD3C0</v>
      </c>
      <c r="D1652" t="s">
        <v>124</v>
      </c>
      <c r="E1652">
        <v>5</v>
      </c>
      <c r="F1652">
        <v>1005</v>
      </c>
      <c r="G1652" t="s">
        <v>114</v>
      </c>
      <c r="J1652" t="s">
        <v>125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"14:51:41.547"</f>
        <v>14:51:41.547</v>
      </c>
      <c r="T1652" t="str">
        <f>"14:51:41.147"</f>
        <v>14:51:41.147</v>
      </c>
      <c r="U1652" t="str">
        <f t="shared" si="81"/>
        <v>A0F928</v>
      </c>
      <c r="V1652">
        <v>0</v>
      </c>
      <c r="W1652">
        <v>0</v>
      </c>
      <c r="X1652">
        <v>2</v>
      </c>
      <c r="Z1652">
        <v>0</v>
      </c>
      <c r="AA1652">
        <v>9</v>
      </c>
      <c r="AB1652">
        <v>3</v>
      </c>
      <c r="AC1652">
        <v>0</v>
      </c>
      <c r="AD1652">
        <v>10</v>
      </c>
      <c r="AE1652">
        <v>0</v>
      </c>
      <c r="AF1652">
        <v>3</v>
      </c>
      <c r="AG1652">
        <v>2</v>
      </c>
      <c r="AH1652">
        <v>1</v>
      </c>
      <c r="AI1652" t="s">
        <v>893</v>
      </c>
      <c r="AJ1652">
        <v>35.821973999999997</v>
      </c>
      <c r="AK1652" t="s">
        <v>741</v>
      </c>
      <c r="AL1652">
        <v>-84.022236000000007</v>
      </c>
      <c r="AM1652">
        <v>25</v>
      </c>
      <c r="AN1652">
        <v>1650</v>
      </c>
      <c r="AO1652" t="s">
        <v>118</v>
      </c>
      <c r="AP1652">
        <v>102</v>
      </c>
      <c r="AQ1652">
        <v>93</v>
      </c>
      <c r="AR1652">
        <v>128</v>
      </c>
      <c r="AZ1652">
        <v>300</v>
      </c>
      <c r="BA1652">
        <v>1</v>
      </c>
      <c r="BB1652" t="str">
        <f t="shared" si="83"/>
        <v xml:space="preserve">N162AM  </v>
      </c>
      <c r="BC1652">
        <v>1</v>
      </c>
      <c r="BE1652">
        <v>0</v>
      </c>
      <c r="BF1652">
        <v>0</v>
      </c>
      <c r="BG1652">
        <v>0</v>
      </c>
      <c r="BH1652">
        <v>1925</v>
      </c>
      <c r="BI1652">
        <v>1</v>
      </c>
      <c r="BJ1652">
        <v>1</v>
      </c>
      <c r="BK1652">
        <v>1</v>
      </c>
      <c r="BL1652">
        <v>0</v>
      </c>
      <c r="BO1652">
        <v>0</v>
      </c>
      <c r="BP1652">
        <v>0</v>
      </c>
      <c r="BW1652" t="str">
        <f>"14:51:41.554"</f>
        <v>14:51:41.554</v>
      </c>
      <c r="CJ1652">
        <v>3</v>
      </c>
      <c r="CK1652">
        <v>2</v>
      </c>
      <c r="CL1652">
        <v>0</v>
      </c>
      <c r="CM1652">
        <v>2</v>
      </c>
      <c r="CN1652">
        <v>0</v>
      </c>
      <c r="CO1652">
        <v>7</v>
      </c>
      <c r="CP1652" t="s">
        <v>119</v>
      </c>
      <c r="CQ1652">
        <v>232</v>
      </c>
      <c r="CR1652">
        <v>2</v>
      </c>
      <c r="CW1652">
        <v>6858497</v>
      </c>
      <c r="CY1652">
        <v>1</v>
      </c>
      <c r="CZ1652">
        <v>0</v>
      </c>
      <c r="DA1652">
        <v>1</v>
      </c>
      <c r="DB1652">
        <v>0</v>
      </c>
      <c r="DC1652">
        <v>0</v>
      </c>
      <c r="DD1652">
        <v>1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>"12/16/2021 14:51:41.820"</f>
        <v>12/16/2021 14:51:41.820</v>
      </c>
      <c r="C1653" t="str">
        <f t="shared" si="82"/>
        <v>FFDFD3C0</v>
      </c>
      <c r="D1653" t="s">
        <v>133</v>
      </c>
      <c r="E1653">
        <v>44</v>
      </c>
      <c r="H1653">
        <v>131</v>
      </c>
      <c r="I1653" t="s">
        <v>134</v>
      </c>
      <c r="J1653" t="s">
        <v>135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>"14:51:41.547"</f>
        <v>14:51:41.547</v>
      </c>
      <c r="T1653" t="str">
        <f>"14:51:41.147"</f>
        <v>14:51:41.147</v>
      </c>
      <c r="U1653" t="str">
        <f t="shared" si="81"/>
        <v>A0F928</v>
      </c>
      <c r="V1653">
        <v>0</v>
      </c>
      <c r="W1653">
        <v>0</v>
      </c>
      <c r="X1653">
        <v>2</v>
      </c>
      <c r="Z1653">
        <v>0</v>
      </c>
      <c r="AA1653">
        <v>9</v>
      </c>
      <c r="AB1653">
        <v>3</v>
      </c>
      <c r="AC1653">
        <v>0</v>
      </c>
      <c r="AD1653">
        <v>10</v>
      </c>
      <c r="AE1653">
        <v>0</v>
      </c>
      <c r="AF1653">
        <v>3</v>
      </c>
      <c r="AG1653">
        <v>2</v>
      </c>
      <c r="AH1653">
        <v>1</v>
      </c>
      <c r="AI1653" t="s">
        <v>893</v>
      </c>
      <c r="AJ1653">
        <v>35.821973999999997</v>
      </c>
      <c r="AK1653" t="s">
        <v>741</v>
      </c>
      <c r="AL1653">
        <v>-84.022236000000007</v>
      </c>
      <c r="AM1653">
        <v>25</v>
      </c>
      <c r="AN1653">
        <v>1650</v>
      </c>
      <c r="AO1653" t="s">
        <v>118</v>
      </c>
      <c r="AP1653">
        <v>102</v>
      </c>
      <c r="AQ1653">
        <v>93</v>
      </c>
      <c r="AR1653">
        <v>128</v>
      </c>
      <c r="AZ1653">
        <v>300</v>
      </c>
      <c r="BA1653">
        <v>1</v>
      </c>
      <c r="BB1653" t="str">
        <f t="shared" si="83"/>
        <v xml:space="preserve">N162AM  </v>
      </c>
      <c r="BC1653">
        <v>1</v>
      </c>
      <c r="BE1653">
        <v>0</v>
      </c>
      <c r="BF1653">
        <v>0</v>
      </c>
      <c r="BG1653">
        <v>0</v>
      </c>
      <c r="BH1653">
        <v>1925</v>
      </c>
      <c r="BI1653">
        <v>1</v>
      </c>
      <c r="BJ1653">
        <v>1</v>
      </c>
      <c r="BK1653">
        <v>1</v>
      </c>
      <c r="BL1653">
        <v>0</v>
      </c>
      <c r="BO1653">
        <v>0</v>
      </c>
      <c r="BP1653">
        <v>0</v>
      </c>
      <c r="BW1653" t="str">
        <f>"14:51:41.554"</f>
        <v>14:51:41.554</v>
      </c>
      <c r="CJ1653">
        <v>3</v>
      </c>
      <c r="CK1653">
        <v>2</v>
      </c>
      <c r="CL1653">
        <v>0</v>
      </c>
      <c r="CM1653">
        <v>2</v>
      </c>
      <c r="CN1653">
        <v>0</v>
      </c>
      <c r="CO1653">
        <v>7</v>
      </c>
      <c r="CP1653" t="s">
        <v>119</v>
      </c>
      <c r="CQ1653">
        <v>232</v>
      </c>
      <c r="CR1653">
        <v>2</v>
      </c>
      <c r="CW1653">
        <v>6858497</v>
      </c>
      <c r="CY1653">
        <v>1</v>
      </c>
      <c r="CZ1653">
        <v>0</v>
      </c>
      <c r="DA1653">
        <v>1</v>
      </c>
      <c r="DB1653">
        <v>0</v>
      </c>
      <c r="DC1653">
        <v>0</v>
      </c>
      <c r="DD1653">
        <v>1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>"12/16/2021 14:51:42.617"</f>
        <v>12/16/2021 14:51:42.617</v>
      </c>
      <c r="C1654" t="str">
        <f t="shared" si="82"/>
        <v>FFDFD3C0</v>
      </c>
      <c r="D1654" t="s">
        <v>124</v>
      </c>
      <c r="E1654">
        <v>5</v>
      </c>
      <c r="F1654">
        <v>1005</v>
      </c>
      <c r="G1654" t="s">
        <v>114</v>
      </c>
      <c r="J1654" t="s">
        <v>125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>"14:51:42.391"</f>
        <v>14:51:42.391</v>
      </c>
      <c r="T1654" t="str">
        <f>"14:51:41.591"</f>
        <v>14:51:41.591</v>
      </c>
      <c r="U1654" t="str">
        <f t="shared" si="81"/>
        <v>A0F928</v>
      </c>
      <c r="V1654">
        <v>0</v>
      </c>
      <c r="W1654">
        <v>0</v>
      </c>
      <c r="X1654">
        <v>2</v>
      </c>
      <c r="Z1654">
        <v>0</v>
      </c>
      <c r="AA1654">
        <v>9</v>
      </c>
      <c r="AB1654">
        <v>3</v>
      </c>
      <c r="AC1654">
        <v>0</v>
      </c>
      <c r="AD1654">
        <v>10</v>
      </c>
      <c r="AE1654">
        <v>0</v>
      </c>
      <c r="AF1654">
        <v>3</v>
      </c>
      <c r="AG1654">
        <v>2</v>
      </c>
      <c r="AH1654">
        <v>1</v>
      </c>
      <c r="AI1654" t="s">
        <v>894</v>
      </c>
      <c r="AJ1654">
        <v>35.822296000000001</v>
      </c>
      <c r="AK1654" t="s">
        <v>895</v>
      </c>
      <c r="AL1654">
        <v>-84.021784999999994</v>
      </c>
      <c r="AM1654">
        <v>25</v>
      </c>
      <c r="AN1654">
        <v>1650</v>
      </c>
      <c r="AO1654" t="s">
        <v>118</v>
      </c>
      <c r="AP1654">
        <v>101</v>
      </c>
      <c r="AQ1654">
        <v>93</v>
      </c>
      <c r="AR1654">
        <v>128</v>
      </c>
      <c r="AZ1654">
        <v>300</v>
      </c>
      <c r="BA1654">
        <v>1</v>
      </c>
      <c r="BB1654" t="str">
        <f t="shared" si="83"/>
        <v xml:space="preserve">N162AM  </v>
      </c>
      <c r="BC1654">
        <v>1</v>
      </c>
      <c r="BE1654">
        <v>0</v>
      </c>
      <c r="BF1654">
        <v>0</v>
      </c>
      <c r="BG1654">
        <v>0</v>
      </c>
      <c r="BH1654">
        <v>1925</v>
      </c>
      <c r="BI1654">
        <v>1</v>
      </c>
      <c r="BJ1654">
        <v>1</v>
      </c>
      <c r="BK1654">
        <v>1</v>
      </c>
      <c r="BL1654">
        <v>0</v>
      </c>
      <c r="BO1654">
        <v>0</v>
      </c>
      <c r="BP1654">
        <v>0</v>
      </c>
      <c r="BW1654" t="str">
        <f>"14:51:42.392"</f>
        <v>14:51:42.392</v>
      </c>
      <c r="CJ1654">
        <v>3</v>
      </c>
      <c r="CK1654">
        <v>2</v>
      </c>
      <c r="CL1654">
        <v>0</v>
      </c>
      <c r="CM1654">
        <v>2</v>
      </c>
      <c r="CN1654">
        <v>0</v>
      </c>
      <c r="CO1654">
        <v>1</v>
      </c>
      <c r="CP1654" t="s">
        <v>119</v>
      </c>
      <c r="CQ1654">
        <v>216</v>
      </c>
      <c r="CR1654">
        <v>0</v>
      </c>
      <c r="CW1654">
        <v>1031126</v>
      </c>
      <c r="CY1654">
        <v>1</v>
      </c>
      <c r="CZ1654">
        <v>0</v>
      </c>
      <c r="DA1654">
        <v>0</v>
      </c>
      <c r="DB1654">
        <v>0</v>
      </c>
      <c r="DC1654">
        <v>0</v>
      </c>
      <c r="DD1654">
        <v>1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>"12/16/2021 14:51:42.633"</f>
        <v>12/16/2021 14:51:42.633</v>
      </c>
      <c r="C1655" t="str">
        <f t="shared" si="82"/>
        <v>FFDFD3C0</v>
      </c>
      <c r="D1655" t="s">
        <v>133</v>
      </c>
      <c r="E1655">
        <v>44</v>
      </c>
      <c r="H1655">
        <v>131</v>
      </c>
      <c r="I1655" t="s">
        <v>134</v>
      </c>
      <c r="J1655" t="s">
        <v>135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>"14:51:42.391"</f>
        <v>14:51:42.391</v>
      </c>
      <c r="T1655" t="str">
        <f>"14:51:41.591"</f>
        <v>14:51:41.591</v>
      </c>
      <c r="U1655" t="str">
        <f t="shared" si="81"/>
        <v>A0F928</v>
      </c>
      <c r="V1655">
        <v>0</v>
      </c>
      <c r="W1655">
        <v>0</v>
      </c>
      <c r="X1655">
        <v>2</v>
      </c>
      <c r="Z1655">
        <v>0</v>
      </c>
      <c r="AA1655">
        <v>9</v>
      </c>
      <c r="AB1655">
        <v>3</v>
      </c>
      <c r="AC1655">
        <v>0</v>
      </c>
      <c r="AD1655">
        <v>10</v>
      </c>
      <c r="AE1655">
        <v>0</v>
      </c>
      <c r="AF1655">
        <v>3</v>
      </c>
      <c r="AG1655">
        <v>2</v>
      </c>
      <c r="AH1655">
        <v>1</v>
      </c>
      <c r="AI1655" t="s">
        <v>894</v>
      </c>
      <c r="AJ1655">
        <v>35.822296000000001</v>
      </c>
      <c r="AK1655" t="s">
        <v>895</v>
      </c>
      <c r="AL1655">
        <v>-84.021784999999994</v>
      </c>
      <c r="AM1655">
        <v>25</v>
      </c>
      <c r="AN1655">
        <v>1650</v>
      </c>
      <c r="AO1655" t="s">
        <v>118</v>
      </c>
      <c r="AP1655">
        <v>101</v>
      </c>
      <c r="AQ1655">
        <v>93</v>
      </c>
      <c r="AR1655">
        <v>128</v>
      </c>
      <c r="AZ1655">
        <v>300</v>
      </c>
      <c r="BA1655">
        <v>1</v>
      </c>
      <c r="BB1655" t="str">
        <f t="shared" si="83"/>
        <v xml:space="preserve">N162AM  </v>
      </c>
      <c r="BC1655">
        <v>1</v>
      </c>
      <c r="BE1655">
        <v>0</v>
      </c>
      <c r="BF1655">
        <v>0</v>
      </c>
      <c r="BG1655">
        <v>0</v>
      </c>
      <c r="BH1655">
        <v>1925</v>
      </c>
      <c r="BI1655">
        <v>1</v>
      </c>
      <c r="BJ1655">
        <v>1</v>
      </c>
      <c r="BK1655">
        <v>1</v>
      </c>
      <c r="BL1655">
        <v>0</v>
      </c>
      <c r="BO1655">
        <v>0</v>
      </c>
      <c r="BP1655">
        <v>0</v>
      </c>
      <c r="BW1655" t="str">
        <f>"14:51:42.392"</f>
        <v>14:51:42.392</v>
      </c>
      <c r="CJ1655">
        <v>3</v>
      </c>
      <c r="CK1655">
        <v>2</v>
      </c>
      <c r="CL1655">
        <v>0</v>
      </c>
      <c r="CM1655">
        <v>2</v>
      </c>
      <c r="CN1655">
        <v>0</v>
      </c>
      <c r="CO1655">
        <v>1</v>
      </c>
      <c r="CP1655" t="s">
        <v>119</v>
      </c>
      <c r="CQ1655">
        <v>216</v>
      </c>
      <c r="CR1655">
        <v>0</v>
      </c>
      <c r="CW1655">
        <v>1031126</v>
      </c>
      <c r="CY1655">
        <v>1</v>
      </c>
      <c r="CZ1655">
        <v>0</v>
      </c>
      <c r="DA1655">
        <v>1</v>
      </c>
      <c r="DB1655">
        <v>0</v>
      </c>
      <c r="DC1655">
        <v>0</v>
      </c>
      <c r="DD1655">
        <v>1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>"12/16/2021 14:51:42.633"</f>
        <v>12/16/2021 14:51:42.633</v>
      </c>
      <c r="C1656" t="str">
        <f t="shared" si="82"/>
        <v>FFDFD3C0</v>
      </c>
      <c r="D1656" t="s">
        <v>124</v>
      </c>
      <c r="E1656">
        <v>10</v>
      </c>
      <c r="F1656">
        <v>1010</v>
      </c>
      <c r="G1656" t="s">
        <v>130</v>
      </c>
      <c r="J1656" t="s">
        <v>125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"14:51:42.391"</f>
        <v>14:51:42.391</v>
      </c>
      <c r="T1656" t="str">
        <f>"14:51:41.591"</f>
        <v>14:51:41.591</v>
      </c>
      <c r="U1656" t="str">
        <f t="shared" si="81"/>
        <v>A0F928</v>
      </c>
      <c r="V1656">
        <v>0</v>
      </c>
      <c r="W1656">
        <v>0</v>
      </c>
      <c r="X1656">
        <v>2</v>
      </c>
      <c r="Z1656">
        <v>0</v>
      </c>
      <c r="AA1656">
        <v>9</v>
      </c>
      <c r="AB1656">
        <v>3</v>
      </c>
      <c r="AC1656">
        <v>0</v>
      </c>
      <c r="AD1656">
        <v>10</v>
      </c>
      <c r="AE1656">
        <v>0</v>
      </c>
      <c r="AF1656">
        <v>3</v>
      </c>
      <c r="AG1656">
        <v>2</v>
      </c>
      <c r="AH1656">
        <v>1</v>
      </c>
      <c r="AI1656" t="s">
        <v>894</v>
      </c>
      <c r="AJ1656">
        <v>35.822296000000001</v>
      </c>
      <c r="AK1656" t="s">
        <v>895</v>
      </c>
      <c r="AL1656">
        <v>-84.021784999999994</v>
      </c>
      <c r="AM1656">
        <v>25</v>
      </c>
      <c r="AN1656">
        <v>1650</v>
      </c>
      <c r="AO1656" t="s">
        <v>118</v>
      </c>
      <c r="AP1656">
        <v>101</v>
      </c>
      <c r="AQ1656">
        <v>93</v>
      </c>
      <c r="AR1656">
        <v>128</v>
      </c>
      <c r="AZ1656">
        <v>300</v>
      </c>
      <c r="BA1656">
        <v>1</v>
      </c>
      <c r="BB1656" t="str">
        <f t="shared" si="83"/>
        <v xml:space="preserve">N162AM  </v>
      </c>
      <c r="BC1656">
        <v>1</v>
      </c>
      <c r="BE1656">
        <v>0</v>
      </c>
      <c r="BF1656">
        <v>0</v>
      </c>
      <c r="BG1656">
        <v>0</v>
      </c>
      <c r="BH1656">
        <v>1925</v>
      </c>
      <c r="BI1656">
        <v>1</v>
      </c>
      <c r="BJ1656">
        <v>1</v>
      </c>
      <c r="BK1656">
        <v>1</v>
      </c>
      <c r="BL1656">
        <v>0</v>
      </c>
      <c r="BO1656">
        <v>0</v>
      </c>
      <c r="BP1656">
        <v>0</v>
      </c>
      <c r="BW1656" t="str">
        <f>"14:51:42.392"</f>
        <v>14:51:42.392</v>
      </c>
      <c r="CJ1656">
        <v>3</v>
      </c>
      <c r="CK1656">
        <v>2</v>
      </c>
      <c r="CL1656">
        <v>0</v>
      </c>
      <c r="CM1656">
        <v>2</v>
      </c>
      <c r="CN1656">
        <v>0</v>
      </c>
      <c r="CO1656">
        <v>1</v>
      </c>
      <c r="CP1656" t="s">
        <v>119</v>
      </c>
      <c r="CQ1656">
        <v>216</v>
      </c>
      <c r="CR1656">
        <v>0</v>
      </c>
      <c r="CW1656">
        <v>1031126</v>
      </c>
      <c r="CY1656">
        <v>1</v>
      </c>
      <c r="CZ1656">
        <v>0</v>
      </c>
      <c r="DA1656">
        <v>1</v>
      </c>
      <c r="DB1656">
        <v>0</v>
      </c>
      <c r="DC1656">
        <v>0</v>
      </c>
      <c r="DD1656">
        <v>1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>"12/16/2021 14:51:42.633"</f>
        <v>12/16/2021 14:51:42.633</v>
      </c>
      <c r="C1657" t="str">
        <f t="shared" si="82"/>
        <v>FFDFD3C0</v>
      </c>
      <c r="D1657" t="s">
        <v>113</v>
      </c>
      <c r="E1657">
        <v>8</v>
      </c>
      <c r="H1657">
        <v>176</v>
      </c>
      <c r="I1657" t="s">
        <v>114</v>
      </c>
      <c r="J1657" t="s">
        <v>115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"14:51:42.391"</f>
        <v>14:51:42.391</v>
      </c>
      <c r="T1657" t="str">
        <f>"14:51:41.591"</f>
        <v>14:51:41.591</v>
      </c>
      <c r="U1657" t="str">
        <f t="shared" si="81"/>
        <v>A0F928</v>
      </c>
      <c r="V1657">
        <v>0</v>
      </c>
      <c r="W1657">
        <v>0</v>
      </c>
      <c r="X1657">
        <v>2</v>
      </c>
      <c r="Z1657">
        <v>0</v>
      </c>
      <c r="AA1657">
        <v>9</v>
      </c>
      <c r="AB1657">
        <v>3</v>
      </c>
      <c r="AC1657">
        <v>0</v>
      </c>
      <c r="AD1657">
        <v>10</v>
      </c>
      <c r="AE1657">
        <v>0</v>
      </c>
      <c r="AF1657">
        <v>3</v>
      </c>
      <c r="AG1657">
        <v>2</v>
      </c>
      <c r="AH1657">
        <v>1</v>
      </c>
      <c r="AI1657" t="s">
        <v>894</v>
      </c>
      <c r="AJ1657">
        <v>35.822296000000001</v>
      </c>
      <c r="AK1657" t="s">
        <v>895</v>
      </c>
      <c r="AL1657">
        <v>-84.021784999999994</v>
      </c>
      <c r="AM1657">
        <v>25</v>
      </c>
      <c r="AN1657">
        <v>1650</v>
      </c>
      <c r="AO1657" t="s">
        <v>118</v>
      </c>
      <c r="AP1657">
        <v>101</v>
      </c>
      <c r="AQ1657">
        <v>93</v>
      </c>
      <c r="AR1657">
        <v>128</v>
      </c>
      <c r="AZ1657">
        <v>300</v>
      </c>
      <c r="BA1657">
        <v>1</v>
      </c>
      <c r="BB1657" t="str">
        <f t="shared" si="83"/>
        <v xml:space="preserve">N162AM  </v>
      </c>
      <c r="BC1657">
        <v>1</v>
      </c>
      <c r="BE1657">
        <v>0</v>
      </c>
      <c r="BF1657">
        <v>0</v>
      </c>
      <c r="BG1657">
        <v>0</v>
      </c>
      <c r="BH1657">
        <v>1925</v>
      </c>
      <c r="BI1657">
        <v>1</v>
      </c>
      <c r="BJ1657">
        <v>1</v>
      </c>
      <c r="BK1657">
        <v>1</v>
      </c>
      <c r="BL1657">
        <v>0</v>
      </c>
      <c r="BO1657">
        <v>0</v>
      </c>
      <c r="BP1657">
        <v>0</v>
      </c>
      <c r="BW1657" t="str">
        <f>"14:51:42.392"</f>
        <v>14:51:42.392</v>
      </c>
      <c r="CJ1657">
        <v>3</v>
      </c>
      <c r="CK1657">
        <v>2</v>
      </c>
      <c r="CL1657">
        <v>0</v>
      </c>
      <c r="CM1657">
        <v>2</v>
      </c>
      <c r="CN1657">
        <v>0</v>
      </c>
      <c r="CO1657">
        <v>1</v>
      </c>
      <c r="CP1657" t="s">
        <v>119</v>
      </c>
      <c r="CQ1657">
        <v>216</v>
      </c>
      <c r="CR1657">
        <v>0</v>
      </c>
      <c r="CW1657">
        <v>1031126</v>
      </c>
      <c r="CY1657">
        <v>1</v>
      </c>
      <c r="CZ1657">
        <v>0</v>
      </c>
      <c r="DA1657">
        <v>1</v>
      </c>
      <c r="DB1657">
        <v>0</v>
      </c>
      <c r="DC1657">
        <v>0</v>
      </c>
      <c r="DD1657">
        <v>1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>"12/16/2021 14:51:43.414"</f>
        <v>12/16/2021 14:51:43.414</v>
      </c>
      <c r="C1658" t="str">
        <f t="shared" si="82"/>
        <v>FFDFD3C0</v>
      </c>
      <c r="D1658" t="s">
        <v>124</v>
      </c>
      <c r="E1658">
        <v>5</v>
      </c>
      <c r="F1658">
        <v>1005</v>
      </c>
      <c r="G1658" t="s">
        <v>114</v>
      </c>
      <c r="J1658" t="s">
        <v>125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"14:51:43.227"</f>
        <v>14:51:43.227</v>
      </c>
      <c r="T1658" t="str">
        <f>"14:51:42.827"</f>
        <v>14:51:42.827</v>
      </c>
      <c r="U1658" t="str">
        <f t="shared" si="81"/>
        <v>A0F928</v>
      </c>
      <c r="V1658">
        <v>0</v>
      </c>
      <c r="W1658">
        <v>0</v>
      </c>
      <c r="X1658">
        <v>2</v>
      </c>
      <c r="Z1658">
        <v>0</v>
      </c>
      <c r="AA1658">
        <v>9</v>
      </c>
      <c r="AB1658">
        <v>3</v>
      </c>
      <c r="AC1658">
        <v>0</v>
      </c>
      <c r="AD1658">
        <v>10</v>
      </c>
      <c r="AE1658">
        <v>0</v>
      </c>
      <c r="AF1658">
        <v>3</v>
      </c>
      <c r="AG1658">
        <v>2</v>
      </c>
      <c r="AH1658">
        <v>1</v>
      </c>
      <c r="AI1658" t="s">
        <v>896</v>
      </c>
      <c r="AJ1658">
        <v>35.822660999999997</v>
      </c>
      <c r="AK1658" t="s">
        <v>897</v>
      </c>
      <c r="AL1658">
        <v>-84.021313000000006</v>
      </c>
      <c r="AM1658">
        <v>25</v>
      </c>
      <c r="AN1658">
        <v>1650</v>
      </c>
      <c r="AO1658" t="s">
        <v>118</v>
      </c>
      <c r="AP1658">
        <v>101</v>
      </c>
      <c r="AQ1658">
        <v>93</v>
      </c>
      <c r="AR1658">
        <v>128</v>
      </c>
      <c r="AZ1658">
        <v>300</v>
      </c>
      <c r="BA1658">
        <v>1</v>
      </c>
      <c r="BB1658" t="str">
        <f t="shared" si="83"/>
        <v xml:space="preserve">N162AM  </v>
      </c>
      <c r="BC1658">
        <v>1</v>
      </c>
      <c r="BE1658">
        <v>0</v>
      </c>
      <c r="BF1658">
        <v>0</v>
      </c>
      <c r="BG1658">
        <v>0</v>
      </c>
      <c r="BH1658">
        <v>1925</v>
      </c>
      <c r="BI1658">
        <v>1</v>
      </c>
      <c r="BJ1658">
        <v>1</v>
      </c>
      <c r="BK1658">
        <v>1</v>
      </c>
      <c r="BL1658">
        <v>0</v>
      </c>
      <c r="BO1658">
        <v>0</v>
      </c>
      <c r="BP1658">
        <v>0</v>
      </c>
      <c r="BW1658" t="str">
        <f>"14:51:43.234"</f>
        <v>14:51:43.234</v>
      </c>
      <c r="CJ1658">
        <v>3</v>
      </c>
      <c r="CK1658">
        <v>2</v>
      </c>
      <c r="CL1658">
        <v>0</v>
      </c>
      <c r="CM1658">
        <v>2</v>
      </c>
      <c r="CN1658">
        <v>0</v>
      </c>
      <c r="CO1658">
        <v>2</v>
      </c>
      <c r="CP1658" t="s">
        <v>119</v>
      </c>
      <c r="CQ1658">
        <v>216</v>
      </c>
      <c r="CR1658">
        <v>0</v>
      </c>
      <c r="CW1658">
        <v>1032284</v>
      </c>
      <c r="CY1658">
        <v>1</v>
      </c>
      <c r="CZ1658">
        <v>0</v>
      </c>
      <c r="DA1658">
        <v>0</v>
      </c>
      <c r="DB1658">
        <v>0</v>
      </c>
      <c r="DC1658">
        <v>0</v>
      </c>
      <c r="DD1658">
        <v>1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>"12/16/2021 14:51:43.430"</f>
        <v>12/16/2021 14:51:43.430</v>
      </c>
      <c r="C1659" t="str">
        <f t="shared" si="82"/>
        <v>FFDFD3C0</v>
      </c>
      <c r="D1659" t="s">
        <v>133</v>
      </c>
      <c r="E1659">
        <v>44</v>
      </c>
      <c r="H1659">
        <v>131</v>
      </c>
      <c r="I1659" t="s">
        <v>134</v>
      </c>
      <c r="J1659" t="s">
        <v>135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"14:51:43.227"</f>
        <v>14:51:43.227</v>
      </c>
      <c r="T1659" t="str">
        <f>"14:51:42.827"</f>
        <v>14:51:42.827</v>
      </c>
      <c r="U1659" t="str">
        <f t="shared" si="81"/>
        <v>A0F928</v>
      </c>
      <c r="V1659">
        <v>0</v>
      </c>
      <c r="W1659">
        <v>0</v>
      </c>
      <c r="X1659">
        <v>2</v>
      </c>
      <c r="Z1659">
        <v>0</v>
      </c>
      <c r="AA1659">
        <v>9</v>
      </c>
      <c r="AB1659">
        <v>3</v>
      </c>
      <c r="AC1659">
        <v>0</v>
      </c>
      <c r="AD1659">
        <v>10</v>
      </c>
      <c r="AE1659">
        <v>0</v>
      </c>
      <c r="AF1659">
        <v>3</v>
      </c>
      <c r="AG1659">
        <v>2</v>
      </c>
      <c r="AH1659">
        <v>1</v>
      </c>
      <c r="AI1659" t="s">
        <v>896</v>
      </c>
      <c r="AJ1659">
        <v>35.822660999999997</v>
      </c>
      <c r="AK1659" t="s">
        <v>897</v>
      </c>
      <c r="AL1659">
        <v>-84.021313000000006</v>
      </c>
      <c r="AM1659">
        <v>25</v>
      </c>
      <c r="AN1659">
        <v>1650</v>
      </c>
      <c r="AO1659" t="s">
        <v>118</v>
      </c>
      <c r="AP1659">
        <v>101</v>
      </c>
      <c r="AQ1659">
        <v>93</v>
      </c>
      <c r="AR1659">
        <v>128</v>
      </c>
      <c r="AZ1659">
        <v>300</v>
      </c>
      <c r="BA1659">
        <v>1</v>
      </c>
      <c r="BB1659" t="str">
        <f t="shared" si="83"/>
        <v xml:space="preserve">N162AM  </v>
      </c>
      <c r="BC1659">
        <v>1</v>
      </c>
      <c r="BE1659">
        <v>0</v>
      </c>
      <c r="BF1659">
        <v>0</v>
      </c>
      <c r="BG1659">
        <v>0</v>
      </c>
      <c r="BH1659">
        <v>1925</v>
      </c>
      <c r="BI1659">
        <v>1</v>
      </c>
      <c r="BJ1659">
        <v>1</v>
      </c>
      <c r="BK1659">
        <v>1</v>
      </c>
      <c r="BL1659">
        <v>0</v>
      </c>
      <c r="BO1659">
        <v>0</v>
      </c>
      <c r="BP1659">
        <v>0</v>
      </c>
      <c r="BW1659" t="str">
        <f>"14:51:43.234"</f>
        <v>14:51:43.234</v>
      </c>
      <c r="CJ1659">
        <v>3</v>
      </c>
      <c r="CK1659">
        <v>2</v>
      </c>
      <c r="CL1659">
        <v>0</v>
      </c>
      <c r="CM1659">
        <v>2</v>
      </c>
      <c r="CN1659">
        <v>0</v>
      </c>
      <c r="CO1659">
        <v>2</v>
      </c>
      <c r="CP1659" t="s">
        <v>119</v>
      </c>
      <c r="CQ1659">
        <v>216</v>
      </c>
      <c r="CR1659">
        <v>0</v>
      </c>
      <c r="CW1659">
        <v>1032284</v>
      </c>
      <c r="CY1659">
        <v>1</v>
      </c>
      <c r="CZ1659">
        <v>0</v>
      </c>
      <c r="DA1659">
        <v>1</v>
      </c>
      <c r="DB1659">
        <v>0</v>
      </c>
      <c r="DC1659">
        <v>0</v>
      </c>
      <c r="DD1659">
        <v>1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>"12/16/2021 14:51:43.477"</f>
        <v>12/16/2021 14:51:43.477</v>
      </c>
      <c r="C1660" t="str">
        <f t="shared" si="82"/>
        <v>FFDFD3C0</v>
      </c>
      <c r="D1660" t="s">
        <v>124</v>
      </c>
      <c r="E1660">
        <v>10</v>
      </c>
      <c r="F1660">
        <v>1010</v>
      </c>
      <c r="G1660" t="s">
        <v>130</v>
      </c>
      <c r="J1660" t="s">
        <v>125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"14:51:43.227"</f>
        <v>14:51:43.227</v>
      </c>
      <c r="T1660" t="str">
        <f>"14:51:42.827"</f>
        <v>14:51:42.827</v>
      </c>
      <c r="U1660" t="str">
        <f t="shared" si="81"/>
        <v>A0F928</v>
      </c>
      <c r="V1660">
        <v>0</v>
      </c>
      <c r="W1660">
        <v>0</v>
      </c>
      <c r="X1660">
        <v>2</v>
      </c>
      <c r="Z1660">
        <v>0</v>
      </c>
      <c r="AA1660">
        <v>9</v>
      </c>
      <c r="AB1660">
        <v>3</v>
      </c>
      <c r="AC1660">
        <v>0</v>
      </c>
      <c r="AD1660">
        <v>10</v>
      </c>
      <c r="AE1660">
        <v>0</v>
      </c>
      <c r="AF1660">
        <v>3</v>
      </c>
      <c r="AG1660">
        <v>2</v>
      </c>
      <c r="AH1660">
        <v>1</v>
      </c>
      <c r="AI1660" t="s">
        <v>896</v>
      </c>
      <c r="AJ1660">
        <v>35.822660999999997</v>
      </c>
      <c r="AK1660" t="s">
        <v>897</v>
      </c>
      <c r="AL1660">
        <v>-84.021313000000006</v>
      </c>
      <c r="AM1660">
        <v>25</v>
      </c>
      <c r="AN1660">
        <v>1650</v>
      </c>
      <c r="AO1660" t="s">
        <v>118</v>
      </c>
      <c r="AP1660">
        <v>101</v>
      </c>
      <c r="AQ1660">
        <v>93</v>
      </c>
      <c r="AR1660">
        <v>128</v>
      </c>
      <c r="AZ1660">
        <v>300</v>
      </c>
      <c r="BA1660">
        <v>1</v>
      </c>
      <c r="BB1660" t="str">
        <f t="shared" si="83"/>
        <v xml:space="preserve">N162AM  </v>
      </c>
      <c r="BC1660">
        <v>1</v>
      </c>
      <c r="BE1660">
        <v>0</v>
      </c>
      <c r="BF1660">
        <v>0</v>
      </c>
      <c r="BG1660">
        <v>0</v>
      </c>
      <c r="BH1660">
        <v>1925</v>
      </c>
      <c r="BI1660">
        <v>1</v>
      </c>
      <c r="BJ1660">
        <v>1</v>
      </c>
      <c r="BK1660">
        <v>1</v>
      </c>
      <c r="BL1660">
        <v>0</v>
      </c>
      <c r="BO1660">
        <v>0</v>
      </c>
      <c r="BP1660">
        <v>0</v>
      </c>
      <c r="BW1660" t="str">
        <f>"14:51:43.234"</f>
        <v>14:51:43.234</v>
      </c>
      <c r="CJ1660">
        <v>3</v>
      </c>
      <c r="CK1660">
        <v>2</v>
      </c>
      <c r="CL1660">
        <v>0</v>
      </c>
      <c r="CM1660">
        <v>2</v>
      </c>
      <c r="CN1660">
        <v>0</v>
      </c>
      <c r="CO1660">
        <v>2</v>
      </c>
      <c r="CP1660" t="s">
        <v>119</v>
      </c>
      <c r="CQ1660">
        <v>216</v>
      </c>
      <c r="CR1660">
        <v>0</v>
      </c>
      <c r="CW1660">
        <v>1032284</v>
      </c>
      <c r="CY1660">
        <v>1</v>
      </c>
      <c r="CZ1660">
        <v>0</v>
      </c>
      <c r="DA1660">
        <v>1</v>
      </c>
      <c r="DB1660">
        <v>0</v>
      </c>
      <c r="DC1660">
        <v>0</v>
      </c>
      <c r="DD1660">
        <v>1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>"12/16/2021 14:51:43.477"</f>
        <v>12/16/2021 14:51:43.477</v>
      </c>
      <c r="C1661" t="str">
        <f t="shared" si="82"/>
        <v>FFDFD3C0</v>
      </c>
      <c r="D1661" t="s">
        <v>113</v>
      </c>
      <c r="E1661">
        <v>8</v>
      </c>
      <c r="H1661">
        <v>176</v>
      </c>
      <c r="I1661" t="s">
        <v>114</v>
      </c>
      <c r="J1661" t="s">
        <v>115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"14:51:43.227"</f>
        <v>14:51:43.227</v>
      </c>
      <c r="T1661" t="str">
        <f>"14:51:42.827"</f>
        <v>14:51:42.827</v>
      </c>
      <c r="U1661" t="str">
        <f t="shared" si="81"/>
        <v>A0F928</v>
      </c>
      <c r="V1661">
        <v>0</v>
      </c>
      <c r="W1661">
        <v>0</v>
      </c>
      <c r="X1661">
        <v>2</v>
      </c>
      <c r="Z1661">
        <v>0</v>
      </c>
      <c r="AA1661">
        <v>9</v>
      </c>
      <c r="AB1661">
        <v>3</v>
      </c>
      <c r="AC1661">
        <v>0</v>
      </c>
      <c r="AD1661">
        <v>10</v>
      </c>
      <c r="AE1661">
        <v>0</v>
      </c>
      <c r="AF1661">
        <v>3</v>
      </c>
      <c r="AG1661">
        <v>2</v>
      </c>
      <c r="AH1661">
        <v>1</v>
      </c>
      <c r="AI1661" t="s">
        <v>896</v>
      </c>
      <c r="AJ1661">
        <v>35.822660999999997</v>
      </c>
      <c r="AK1661" t="s">
        <v>897</v>
      </c>
      <c r="AL1661">
        <v>-84.021313000000006</v>
      </c>
      <c r="AM1661">
        <v>25</v>
      </c>
      <c r="AN1661">
        <v>1650</v>
      </c>
      <c r="AO1661" t="s">
        <v>118</v>
      </c>
      <c r="AP1661">
        <v>101</v>
      </c>
      <c r="AQ1661">
        <v>93</v>
      </c>
      <c r="AR1661">
        <v>128</v>
      </c>
      <c r="AZ1661">
        <v>300</v>
      </c>
      <c r="BA1661">
        <v>1</v>
      </c>
      <c r="BB1661" t="str">
        <f t="shared" si="83"/>
        <v xml:space="preserve">N162AM  </v>
      </c>
      <c r="BC1661">
        <v>1</v>
      </c>
      <c r="BE1661">
        <v>0</v>
      </c>
      <c r="BF1661">
        <v>0</v>
      </c>
      <c r="BG1661">
        <v>0</v>
      </c>
      <c r="BH1661">
        <v>1925</v>
      </c>
      <c r="BI1661">
        <v>1</v>
      </c>
      <c r="BJ1661">
        <v>1</v>
      </c>
      <c r="BK1661">
        <v>1</v>
      </c>
      <c r="BL1661">
        <v>0</v>
      </c>
      <c r="BO1661">
        <v>0</v>
      </c>
      <c r="BP1661">
        <v>0</v>
      </c>
      <c r="BW1661" t="str">
        <f>"14:51:43.234"</f>
        <v>14:51:43.234</v>
      </c>
      <c r="CJ1661">
        <v>3</v>
      </c>
      <c r="CK1661">
        <v>2</v>
      </c>
      <c r="CL1661">
        <v>0</v>
      </c>
      <c r="CM1661">
        <v>2</v>
      </c>
      <c r="CN1661">
        <v>0</v>
      </c>
      <c r="CO1661">
        <v>2</v>
      </c>
      <c r="CP1661" t="s">
        <v>119</v>
      </c>
      <c r="CQ1661">
        <v>216</v>
      </c>
      <c r="CR1661">
        <v>0</v>
      </c>
      <c r="CW1661">
        <v>1032284</v>
      </c>
      <c r="CY1661">
        <v>1</v>
      </c>
      <c r="CZ1661">
        <v>0</v>
      </c>
      <c r="DA1661">
        <v>1</v>
      </c>
      <c r="DB1661">
        <v>0</v>
      </c>
      <c r="DC1661">
        <v>0</v>
      </c>
      <c r="DD1661">
        <v>1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>"12/16/2021 14:51:44.525"</f>
        <v>12/16/2021 14:51:44.525</v>
      </c>
      <c r="C1662" t="str">
        <f t="shared" si="82"/>
        <v>FFDFD3C0</v>
      </c>
      <c r="D1662" t="s">
        <v>124</v>
      </c>
      <c r="E1662">
        <v>5</v>
      </c>
      <c r="F1662">
        <v>1005</v>
      </c>
      <c r="G1662" t="s">
        <v>114</v>
      </c>
      <c r="J1662" t="s">
        <v>125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"14:51:44.336"</f>
        <v>14:51:44.336</v>
      </c>
      <c r="T1662" t="str">
        <f>"14:51:43.836"</f>
        <v>14:51:43.836</v>
      </c>
      <c r="U1662" t="str">
        <f t="shared" si="81"/>
        <v>A0F928</v>
      </c>
      <c r="V1662">
        <v>0</v>
      </c>
      <c r="W1662">
        <v>0</v>
      </c>
      <c r="X1662">
        <v>2</v>
      </c>
      <c r="Z1662">
        <v>0</v>
      </c>
      <c r="AA1662">
        <v>9</v>
      </c>
      <c r="AB1662">
        <v>3</v>
      </c>
      <c r="AC1662">
        <v>0</v>
      </c>
      <c r="AD1662">
        <v>10</v>
      </c>
      <c r="AE1662">
        <v>0</v>
      </c>
      <c r="AF1662">
        <v>3</v>
      </c>
      <c r="AG1662">
        <v>2</v>
      </c>
      <c r="AH1662">
        <v>1</v>
      </c>
      <c r="AI1662" t="s">
        <v>898</v>
      </c>
      <c r="AJ1662">
        <v>35.823154000000002</v>
      </c>
      <c r="AK1662" t="s">
        <v>899</v>
      </c>
      <c r="AL1662">
        <v>-84.020690999999999</v>
      </c>
      <c r="AM1662">
        <v>25</v>
      </c>
      <c r="AN1662">
        <v>1650</v>
      </c>
      <c r="AO1662" t="s">
        <v>118</v>
      </c>
      <c r="AP1662">
        <v>99</v>
      </c>
      <c r="AQ1662">
        <v>93</v>
      </c>
      <c r="AR1662">
        <v>64</v>
      </c>
      <c r="AZ1662">
        <v>300</v>
      </c>
      <c r="BA1662">
        <v>1</v>
      </c>
      <c r="BB1662" t="str">
        <f t="shared" si="83"/>
        <v xml:space="preserve">N162AM  </v>
      </c>
      <c r="BC1662">
        <v>1</v>
      </c>
      <c r="BE1662">
        <v>0</v>
      </c>
      <c r="BF1662">
        <v>0</v>
      </c>
      <c r="BG1662">
        <v>0</v>
      </c>
      <c r="BH1662">
        <v>1900</v>
      </c>
      <c r="BI1662">
        <v>1</v>
      </c>
      <c r="BJ1662">
        <v>1</v>
      </c>
      <c r="BK1662">
        <v>1</v>
      </c>
      <c r="BL1662">
        <v>0</v>
      </c>
      <c r="BO1662">
        <v>0</v>
      </c>
      <c r="BP1662">
        <v>0</v>
      </c>
      <c r="BW1662" t="str">
        <f>"14:51:44.340"</f>
        <v>14:51:44.340</v>
      </c>
      <c r="CJ1662">
        <v>3</v>
      </c>
      <c r="CK1662">
        <v>2</v>
      </c>
      <c r="CL1662">
        <v>0</v>
      </c>
      <c r="CM1662">
        <v>2</v>
      </c>
      <c r="CN1662">
        <v>0</v>
      </c>
      <c r="CO1662">
        <v>2</v>
      </c>
      <c r="CP1662" t="s">
        <v>119</v>
      </c>
      <c r="CQ1662">
        <v>216</v>
      </c>
      <c r="CR1662">
        <v>0</v>
      </c>
      <c r="CW1662">
        <v>1033967</v>
      </c>
      <c r="CY1662">
        <v>1</v>
      </c>
      <c r="CZ1662">
        <v>0</v>
      </c>
      <c r="DA1662">
        <v>0</v>
      </c>
      <c r="DB1662">
        <v>0</v>
      </c>
      <c r="DC1662">
        <v>0</v>
      </c>
      <c r="DD1662">
        <v>1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>"12/16/2021 14:51:44.554"</f>
        <v>12/16/2021 14:51:44.554</v>
      </c>
      <c r="C1663" t="str">
        <f t="shared" si="82"/>
        <v>FFDFD3C0</v>
      </c>
      <c r="D1663" t="s">
        <v>133</v>
      </c>
      <c r="E1663">
        <v>44</v>
      </c>
      <c r="H1663">
        <v>131</v>
      </c>
      <c r="I1663" t="s">
        <v>134</v>
      </c>
      <c r="J1663" t="s">
        <v>135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"14:51:44.336"</f>
        <v>14:51:44.336</v>
      </c>
      <c r="T1663" t="str">
        <f>"14:51:43.836"</f>
        <v>14:51:43.836</v>
      </c>
      <c r="U1663" t="str">
        <f t="shared" si="81"/>
        <v>A0F928</v>
      </c>
      <c r="V1663">
        <v>0</v>
      </c>
      <c r="W1663">
        <v>0</v>
      </c>
      <c r="X1663">
        <v>2</v>
      </c>
      <c r="Z1663">
        <v>0</v>
      </c>
      <c r="AA1663">
        <v>9</v>
      </c>
      <c r="AB1663">
        <v>3</v>
      </c>
      <c r="AC1663">
        <v>0</v>
      </c>
      <c r="AD1663">
        <v>10</v>
      </c>
      <c r="AE1663">
        <v>0</v>
      </c>
      <c r="AF1663">
        <v>3</v>
      </c>
      <c r="AG1663">
        <v>2</v>
      </c>
      <c r="AH1663">
        <v>1</v>
      </c>
      <c r="AI1663" t="s">
        <v>898</v>
      </c>
      <c r="AJ1663">
        <v>35.823154000000002</v>
      </c>
      <c r="AK1663" t="s">
        <v>899</v>
      </c>
      <c r="AL1663">
        <v>-84.020690999999999</v>
      </c>
      <c r="AM1663">
        <v>25</v>
      </c>
      <c r="AN1663">
        <v>1650</v>
      </c>
      <c r="AO1663" t="s">
        <v>118</v>
      </c>
      <c r="AP1663">
        <v>99</v>
      </c>
      <c r="AQ1663">
        <v>93</v>
      </c>
      <c r="AR1663">
        <v>64</v>
      </c>
      <c r="AZ1663">
        <v>300</v>
      </c>
      <c r="BA1663">
        <v>1</v>
      </c>
      <c r="BB1663" t="str">
        <f t="shared" si="83"/>
        <v xml:space="preserve">N162AM  </v>
      </c>
      <c r="BC1663">
        <v>1</v>
      </c>
      <c r="BE1663">
        <v>0</v>
      </c>
      <c r="BF1663">
        <v>0</v>
      </c>
      <c r="BG1663">
        <v>0</v>
      </c>
      <c r="BH1663">
        <v>1900</v>
      </c>
      <c r="BI1663">
        <v>1</v>
      </c>
      <c r="BJ1663">
        <v>1</v>
      </c>
      <c r="BK1663">
        <v>1</v>
      </c>
      <c r="BL1663">
        <v>0</v>
      </c>
      <c r="BO1663">
        <v>0</v>
      </c>
      <c r="BP1663">
        <v>0</v>
      </c>
      <c r="BW1663" t="str">
        <f>"14:51:44.340"</f>
        <v>14:51:44.340</v>
      </c>
      <c r="CJ1663">
        <v>3</v>
      </c>
      <c r="CK1663">
        <v>2</v>
      </c>
      <c r="CL1663">
        <v>0</v>
      </c>
      <c r="CM1663">
        <v>2</v>
      </c>
      <c r="CN1663">
        <v>0</v>
      </c>
      <c r="CO1663">
        <v>2</v>
      </c>
      <c r="CP1663" t="s">
        <v>119</v>
      </c>
      <c r="CQ1663">
        <v>216</v>
      </c>
      <c r="CR1663">
        <v>0</v>
      </c>
      <c r="CW1663">
        <v>1033967</v>
      </c>
      <c r="CY1663">
        <v>1</v>
      </c>
      <c r="CZ1663">
        <v>0</v>
      </c>
      <c r="DA1663">
        <v>1</v>
      </c>
      <c r="DB1663">
        <v>0</v>
      </c>
      <c r="DC1663">
        <v>0</v>
      </c>
      <c r="DD1663">
        <v>1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>"12/16/2021 14:51:44.554"</f>
        <v>12/16/2021 14:51:44.554</v>
      </c>
      <c r="C1664" t="str">
        <f t="shared" si="82"/>
        <v>FFDFD3C0</v>
      </c>
      <c r="D1664" t="s">
        <v>124</v>
      </c>
      <c r="E1664">
        <v>10</v>
      </c>
      <c r="F1664">
        <v>1010</v>
      </c>
      <c r="G1664" t="s">
        <v>130</v>
      </c>
      <c r="J1664" t="s">
        <v>125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"14:51:44.336"</f>
        <v>14:51:44.336</v>
      </c>
      <c r="T1664" t="str">
        <f>"14:51:43.836"</f>
        <v>14:51:43.836</v>
      </c>
      <c r="U1664" t="str">
        <f t="shared" si="81"/>
        <v>A0F928</v>
      </c>
      <c r="V1664">
        <v>0</v>
      </c>
      <c r="W1664">
        <v>0</v>
      </c>
      <c r="X1664">
        <v>2</v>
      </c>
      <c r="Z1664">
        <v>0</v>
      </c>
      <c r="AA1664">
        <v>9</v>
      </c>
      <c r="AB1664">
        <v>3</v>
      </c>
      <c r="AC1664">
        <v>0</v>
      </c>
      <c r="AD1664">
        <v>10</v>
      </c>
      <c r="AE1664">
        <v>0</v>
      </c>
      <c r="AF1664">
        <v>3</v>
      </c>
      <c r="AG1664">
        <v>2</v>
      </c>
      <c r="AH1664">
        <v>1</v>
      </c>
      <c r="AI1664" t="s">
        <v>898</v>
      </c>
      <c r="AJ1664">
        <v>35.823154000000002</v>
      </c>
      <c r="AK1664" t="s">
        <v>899</v>
      </c>
      <c r="AL1664">
        <v>-84.020690999999999</v>
      </c>
      <c r="AM1664">
        <v>25</v>
      </c>
      <c r="AN1664">
        <v>1650</v>
      </c>
      <c r="AO1664" t="s">
        <v>118</v>
      </c>
      <c r="AP1664">
        <v>99</v>
      </c>
      <c r="AQ1664">
        <v>93</v>
      </c>
      <c r="AR1664">
        <v>64</v>
      </c>
      <c r="AZ1664">
        <v>300</v>
      </c>
      <c r="BA1664">
        <v>1</v>
      </c>
      <c r="BB1664" t="str">
        <f t="shared" si="83"/>
        <v xml:space="preserve">N162AM  </v>
      </c>
      <c r="BC1664">
        <v>1</v>
      </c>
      <c r="BE1664">
        <v>0</v>
      </c>
      <c r="BF1664">
        <v>0</v>
      </c>
      <c r="BG1664">
        <v>0</v>
      </c>
      <c r="BH1664">
        <v>1900</v>
      </c>
      <c r="BI1664">
        <v>1</v>
      </c>
      <c r="BJ1664">
        <v>1</v>
      </c>
      <c r="BK1664">
        <v>1</v>
      </c>
      <c r="BL1664">
        <v>0</v>
      </c>
      <c r="BO1664">
        <v>0</v>
      </c>
      <c r="BP1664">
        <v>0</v>
      </c>
      <c r="BW1664" t="str">
        <f>"14:51:44.340"</f>
        <v>14:51:44.340</v>
      </c>
      <c r="CJ1664">
        <v>3</v>
      </c>
      <c r="CK1664">
        <v>2</v>
      </c>
      <c r="CL1664">
        <v>0</v>
      </c>
      <c r="CM1664">
        <v>2</v>
      </c>
      <c r="CN1664">
        <v>0</v>
      </c>
      <c r="CO1664">
        <v>2</v>
      </c>
      <c r="CP1664" t="s">
        <v>119</v>
      </c>
      <c r="CQ1664">
        <v>216</v>
      </c>
      <c r="CR1664">
        <v>0</v>
      </c>
      <c r="CW1664">
        <v>1033967</v>
      </c>
      <c r="CY1664">
        <v>1</v>
      </c>
      <c r="CZ1664">
        <v>0</v>
      </c>
      <c r="DA1664">
        <v>1</v>
      </c>
      <c r="DB1664">
        <v>0</v>
      </c>
      <c r="DC1664">
        <v>0</v>
      </c>
      <c r="DD1664">
        <v>1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>"12/16/2021 14:51:44.554"</f>
        <v>12/16/2021 14:51:44.554</v>
      </c>
      <c r="C1665" t="str">
        <f t="shared" si="82"/>
        <v>FFDFD3C0</v>
      </c>
      <c r="D1665" t="s">
        <v>113</v>
      </c>
      <c r="E1665">
        <v>8</v>
      </c>
      <c r="H1665">
        <v>176</v>
      </c>
      <c r="I1665" t="s">
        <v>114</v>
      </c>
      <c r="J1665" t="s">
        <v>115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>"14:51:44.336"</f>
        <v>14:51:44.336</v>
      </c>
      <c r="T1665" t="str">
        <f>"14:51:43.836"</f>
        <v>14:51:43.836</v>
      </c>
      <c r="U1665" t="str">
        <f t="shared" si="81"/>
        <v>A0F928</v>
      </c>
      <c r="V1665">
        <v>0</v>
      </c>
      <c r="W1665">
        <v>0</v>
      </c>
      <c r="X1665">
        <v>2</v>
      </c>
      <c r="Z1665">
        <v>0</v>
      </c>
      <c r="AA1665">
        <v>9</v>
      </c>
      <c r="AB1665">
        <v>3</v>
      </c>
      <c r="AC1665">
        <v>0</v>
      </c>
      <c r="AD1665">
        <v>10</v>
      </c>
      <c r="AE1665">
        <v>0</v>
      </c>
      <c r="AF1665">
        <v>3</v>
      </c>
      <c r="AG1665">
        <v>2</v>
      </c>
      <c r="AH1665">
        <v>1</v>
      </c>
      <c r="AI1665" t="s">
        <v>898</v>
      </c>
      <c r="AJ1665">
        <v>35.823154000000002</v>
      </c>
      <c r="AK1665" t="s">
        <v>899</v>
      </c>
      <c r="AL1665">
        <v>-84.020690999999999</v>
      </c>
      <c r="AM1665">
        <v>25</v>
      </c>
      <c r="AN1665">
        <v>1650</v>
      </c>
      <c r="AO1665" t="s">
        <v>118</v>
      </c>
      <c r="AP1665">
        <v>99</v>
      </c>
      <c r="AQ1665">
        <v>93</v>
      </c>
      <c r="AR1665">
        <v>64</v>
      </c>
      <c r="AZ1665">
        <v>300</v>
      </c>
      <c r="BA1665">
        <v>1</v>
      </c>
      <c r="BB1665" t="str">
        <f t="shared" si="83"/>
        <v xml:space="preserve">N162AM  </v>
      </c>
      <c r="BC1665">
        <v>1</v>
      </c>
      <c r="BE1665">
        <v>0</v>
      </c>
      <c r="BF1665">
        <v>0</v>
      </c>
      <c r="BG1665">
        <v>0</v>
      </c>
      <c r="BH1665">
        <v>1900</v>
      </c>
      <c r="BI1665">
        <v>1</v>
      </c>
      <c r="BJ1665">
        <v>1</v>
      </c>
      <c r="BK1665">
        <v>1</v>
      </c>
      <c r="BL1665">
        <v>0</v>
      </c>
      <c r="BO1665">
        <v>0</v>
      </c>
      <c r="BP1665">
        <v>0</v>
      </c>
      <c r="BW1665" t="str">
        <f>"14:51:44.340"</f>
        <v>14:51:44.340</v>
      </c>
      <c r="CJ1665">
        <v>3</v>
      </c>
      <c r="CK1665">
        <v>2</v>
      </c>
      <c r="CL1665">
        <v>0</v>
      </c>
      <c r="CM1665">
        <v>2</v>
      </c>
      <c r="CN1665">
        <v>0</v>
      </c>
      <c r="CO1665">
        <v>2</v>
      </c>
      <c r="CP1665" t="s">
        <v>119</v>
      </c>
      <c r="CQ1665">
        <v>216</v>
      </c>
      <c r="CR1665">
        <v>0</v>
      </c>
      <c r="CW1665">
        <v>1033967</v>
      </c>
      <c r="CY1665">
        <v>1</v>
      </c>
      <c r="CZ1665">
        <v>0</v>
      </c>
      <c r="DA1665">
        <v>1</v>
      </c>
      <c r="DB1665">
        <v>0</v>
      </c>
      <c r="DC1665">
        <v>0</v>
      </c>
      <c r="DD1665">
        <v>1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>"12/16/2021 14:51:45.648"</f>
        <v>12/16/2021 14:51:45.648</v>
      </c>
      <c r="C1666" t="str">
        <f t="shared" si="82"/>
        <v>FFDFD3C0</v>
      </c>
      <c r="D1666" t="s">
        <v>124</v>
      </c>
      <c r="E1666">
        <v>10</v>
      </c>
      <c r="F1666">
        <v>1010</v>
      </c>
      <c r="G1666" t="s">
        <v>130</v>
      </c>
      <c r="J1666" t="s">
        <v>125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"14:51:45.453"</f>
        <v>14:51:45.453</v>
      </c>
      <c r="T1666" t="str">
        <f>"14:51:44.953"</f>
        <v>14:51:44.953</v>
      </c>
      <c r="U1666" t="str">
        <f t="shared" ref="U1666:U1729" si="84">"A0F928"</f>
        <v>A0F928</v>
      </c>
      <c r="V1666">
        <v>0</v>
      </c>
      <c r="W1666">
        <v>0</v>
      </c>
      <c r="X1666">
        <v>2</v>
      </c>
      <c r="Z1666">
        <v>0</v>
      </c>
      <c r="AA1666">
        <v>9</v>
      </c>
      <c r="AB1666">
        <v>3</v>
      </c>
      <c r="AC1666">
        <v>0</v>
      </c>
      <c r="AD1666">
        <v>10</v>
      </c>
      <c r="AE1666">
        <v>0</v>
      </c>
      <c r="AF1666">
        <v>3</v>
      </c>
      <c r="AG1666">
        <v>2</v>
      </c>
      <c r="AH1666">
        <v>1</v>
      </c>
      <c r="AI1666" t="s">
        <v>900</v>
      </c>
      <c r="AJ1666">
        <v>35.823669000000002</v>
      </c>
      <c r="AK1666" t="s">
        <v>901</v>
      </c>
      <c r="AL1666">
        <v>-84.020047000000005</v>
      </c>
      <c r="AM1666">
        <v>25</v>
      </c>
      <c r="AN1666">
        <v>1650</v>
      </c>
      <c r="AO1666" t="s">
        <v>118</v>
      </c>
      <c r="AP1666">
        <v>98</v>
      </c>
      <c r="AQ1666">
        <v>94</v>
      </c>
      <c r="AR1666">
        <v>0</v>
      </c>
      <c r="AZ1666">
        <v>300</v>
      </c>
      <c r="BA1666">
        <v>1</v>
      </c>
      <c r="BB1666" t="str">
        <f t="shared" si="83"/>
        <v xml:space="preserve">N162AM  </v>
      </c>
      <c r="BC1666">
        <v>1</v>
      </c>
      <c r="BE1666">
        <v>0</v>
      </c>
      <c r="BF1666">
        <v>0</v>
      </c>
      <c r="BG1666">
        <v>0</v>
      </c>
      <c r="BH1666">
        <v>1900</v>
      </c>
      <c r="BI1666">
        <v>1</v>
      </c>
      <c r="BJ1666">
        <v>1</v>
      </c>
      <c r="BK1666">
        <v>1</v>
      </c>
      <c r="BL1666">
        <v>0</v>
      </c>
      <c r="BO1666">
        <v>0</v>
      </c>
      <c r="BP1666">
        <v>0</v>
      </c>
      <c r="BW1666" t="str">
        <f>"14:51:45.457"</f>
        <v>14:51:45.457</v>
      </c>
      <c r="CJ1666">
        <v>3</v>
      </c>
      <c r="CK1666">
        <v>2</v>
      </c>
      <c r="CL1666">
        <v>0</v>
      </c>
      <c r="CM1666">
        <v>2</v>
      </c>
      <c r="CN1666">
        <v>0</v>
      </c>
      <c r="CO1666">
        <v>2</v>
      </c>
      <c r="CP1666" t="s">
        <v>119</v>
      </c>
      <c r="CQ1666">
        <v>216</v>
      </c>
      <c r="CR1666">
        <v>0</v>
      </c>
      <c r="CW1666">
        <v>1035562</v>
      </c>
      <c r="CY1666">
        <v>1</v>
      </c>
      <c r="CZ1666">
        <v>0</v>
      </c>
      <c r="DA1666">
        <v>0</v>
      </c>
      <c r="DB1666">
        <v>0</v>
      </c>
      <c r="DC1666">
        <v>0</v>
      </c>
      <c r="DD1666">
        <v>1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>"12/16/2021 14:51:45.711"</f>
        <v>12/16/2021 14:51:45.711</v>
      </c>
      <c r="C1667" t="str">
        <f t="shared" si="82"/>
        <v>FFDFD3C0</v>
      </c>
      <c r="D1667" t="s">
        <v>133</v>
      </c>
      <c r="E1667">
        <v>44</v>
      </c>
      <c r="H1667">
        <v>131</v>
      </c>
      <c r="I1667" t="s">
        <v>134</v>
      </c>
      <c r="J1667" t="s">
        <v>135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>"14:51:45.453"</f>
        <v>14:51:45.453</v>
      </c>
      <c r="T1667" t="str">
        <f>"14:51:44.953"</f>
        <v>14:51:44.953</v>
      </c>
      <c r="U1667" t="str">
        <f t="shared" si="84"/>
        <v>A0F928</v>
      </c>
      <c r="V1667">
        <v>0</v>
      </c>
      <c r="W1667">
        <v>0</v>
      </c>
      <c r="X1667">
        <v>2</v>
      </c>
      <c r="Z1667">
        <v>0</v>
      </c>
      <c r="AA1667">
        <v>9</v>
      </c>
      <c r="AB1667">
        <v>3</v>
      </c>
      <c r="AC1667">
        <v>0</v>
      </c>
      <c r="AD1667">
        <v>10</v>
      </c>
      <c r="AE1667">
        <v>0</v>
      </c>
      <c r="AF1667">
        <v>3</v>
      </c>
      <c r="AG1667">
        <v>2</v>
      </c>
      <c r="AH1667">
        <v>1</v>
      </c>
      <c r="AI1667" t="s">
        <v>900</v>
      </c>
      <c r="AJ1667">
        <v>35.823669000000002</v>
      </c>
      <c r="AK1667" t="s">
        <v>901</v>
      </c>
      <c r="AL1667">
        <v>-84.020047000000005</v>
      </c>
      <c r="AM1667">
        <v>25</v>
      </c>
      <c r="AN1667">
        <v>1650</v>
      </c>
      <c r="AO1667" t="s">
        <v>118</v>
      </c>
      <c r="AP1667">
        <v>98</v>
      </c>
      <c r="AQ1667">
        <v>94</v>
      </c>
      <c r="AR1667">
        <v>0</v>
      </c>
      <c r="AZ1667">
        <v>300</v>
      </c>
      <c r="BA1667">
        <v>1</v>
      </c>
      <c r="BB1667" t="str">
        <f t="shared" si="83"/>
        <v xml:space="preserve">N162AM  </v>
      </c>
      <c r="BC1667">
        <v>1</v>
      </c>
      <c r="BE1667">
        <v>0</v>
      </c>
      <c r="BF1667">
        <v>0</v>
      </c>
      <c r="BG1667">
        <v>0</v>
      </c>
      <c r="BH1667">
        <v>1900</v>
      </c>
      <c r="BI1667">
        <v>1</v>
      </c>
      <c r="BJ1667">
        <v>1</v>
      </c>
      <c r="BK1667">
        <v>1</v>
      </c>
      <c r="BL1667">
        <v>0</v>
      </c>
      <c r="BO1667">
        <v>0</v>
      </c>
      <c r="BP1667">
        <v>0</v>
      </c>
      <c r="BW1667" t="str">
        <f>"14:51:45.457"</f>
        <v>14:51:45.457</v>
      </c>
      <c r="CJ1667">
        <v>3</v>
      </c>
      <c r="CK1667">
        <v>2</v>
      </c>
      <c r="CL1667">
        <v>0</v>
      </c>
      <c r="CM1667">
        <v>2</v>
      </c>
      <c r="CN1667">
        <v>0</v>
      </c>
      <c r="CO1667">
        <v>2</v>
      </c>
      <c r="CP1667" t="s">
        <v>119</v>
      </c>
      <c r="CQ1667">
        <v>216</v>
      </c>
      <c r="CR1667">
        <v>0</v>
      </c>
      <c r="CW1667">
        <v>1035562</v>
      </c>
      <c r="CY1667">
        <v>1</v>
      </c>
      <c r="CZ1667">
        <v>0</v>
      </c>
      <c r="DA1667">
        <v>1</v>
      </c>
      <c r="DB1667">
        <v>0</v>
      </c>
      <c r="DC1667">
        <v>0</v>
      </c>
      <c r="DD1667">
        <v>1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>"12/16/2021 14:51:45.711"</f>
        <v>12/16/2021 14:51:45.711</v>
      </c>
      <c r="C1668" t="str">
        <f t="shared" si="82"/>
        <v>FFDFD3C0</v>
      </c>
      <c r="D1668" t="s">
        <v>113</v>
      </c>
      <c r="E1668">
        <v>8</v>
      </c>
      <c r="H1668">
        <v>176</v>
      </c>
      <c r="I1668" t="s">
        <v>114</v>
      </c>
      <c r="J1668" t="s">
        <v>115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>"14:51:45.453"</f>
        <v>14:51:45.453</v>
      </c>
      <c r="T1668" t="str">
        <f>"14:51:44.953"</f>
        <v>14:51:44.953</v>
      </c>
      <c r="U1668" t="str">
        <f t="shared" si="84"/>
        <v>A0F928</v>
      </c>
      <c r="V1668">
        <v>0</v>
      </c>
      <c r="W1668">
        <v>0</v>
      </c>
      <c r="X1668">
        <v>2</v>
      </c>
      <c r="Z1668">
        <v>0</v>
      </c>
      <c r="AA1668">
        <v>9</v>
      </c>
      <c r="AB1668">
        <v>3</v>
      </c>
      <c r="AC1668">
        <v>0</v>
      </c>
      <c r="AD1668">
        <v>10</v>
      </c>
      <c r="AE1668">
        <v>0</v>
      </c>
      <c r="AF1668">
        <v>3</v>
      </c>
      <c r="AG1668">
        <v>2</v>
      </c>
      <c r="AH1668">
        <v>1</v>
      </c>
      <c r="AI1668" t="s">
        <v>900</v>
      </c>
      <c r="AJ1668">
        <v>35.823669000000002</v>
      </c>
      <c r="AK1668" t="s">
        <v>901</v>
      </c>
      <c r="AL1668">
        <v>-84.020047000000005</v>
      </c>
      <c r="AM1668">
        <v>25</v>
      </c>
      <c r="AN1668">
        <v>1650</v>
      </c>
      <c r="AO1668" t="s">
        <v>118</v>
      </c>
      <c r="AP1668">
        <v>98</v>
      </c>
      <c r="AQ1668">
        <v>94</v>
      </c>
      <c r="AR1668">
        <v>0</v>
      </c>
      <c r="AZ1668">
        <v>300</v>
      </c>
      <c r="BA1668">
        <v>1</v>
      </c>
      <c r="BB1668" t="str">
        <f t="shared" si="83"/>
        <v xml:space="preserve">N162AM  </v>
      </c>
      <c r="BC1668">
        <v>1</v>
      </c>
      <c r="BE1668">
        <v>0</v>
      </c>
      <c r="BF1668">
        <v>0</v>
      </c>
      <c r="BG1668">
        <v>0</v>
      </c>
      <c r="BH1668">
        <v>1900</v>
      </c>
      <c r="BI1668">
        <v>1</v>
      </c>
      <c r="BJ1668">
        <v>1</v>
      </c>
      <c r="BK1668">
        <v>1</v>
      </c>
      <c r="BL1668">
        <v>0</v>
      </c>
      <c r="BO1668">
        <v>0</v>
      </c>
      <c r="BP1668">
        <v>0</v>
      </c>
      <c r="BW1668" t="str">
        <f>"14:51:45.457"</f>
        <v>14:51:45.457</v>
      </c>
      <c r="CJ1668">
        <v>3</v>
      </c>
      <c r="CK1668">
        <v>2</v>
      </c>
      <c r="CL1668">
        <v>0</v>
      </c>
      <c r="CM1668">
        <v>2</v>
      </c>
      <c r="CN1668">
        <v>0</v>
      </c>
      <c r="CO1668">
        <v>2</v>
      </c>
      <c r="CP1668" t="s">
        <v>119</v>
      </c>
      <c r="CQ1668">
        <v>216</v>
      </c>
      <c r="CR1668">
        <v>0</v>
      </c>
      <c r="CW1668">
        <v>1035562</v>
      </c>
      <c r="CY1668">
        <v>1</v>
      </c>
      <c r="CZ1668">
        <v>0</v>
      </c>
      <c r="DA1668">
        <v>1</v>
      </c>
      <c r="DB1668">
        <v>0</v>
      </c>
      <c r="DC1668">
        <v>0</v>
      </c>
      <c r="DD1668">
        <v>1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>"12/16/2021 14:51:45.711"</f>
        <v>12/16/2021 14:51:45.711</v>
      </c>
      <c r="C1669" t="str">
        <f t="shared" si="82"/>
        <v>FFDFD3C0</v>
      </c>
      <c r="D1669" t="s">
        <v>124</v>
      </c>
      <c r="E1669">
        <v>5</v>
      </c>
      <c r="F1669">
        <v>1005</v>
      </c>
      <c r="G1669" t="s">
        <v>114</v>
      </c>
      <c r="J1669" t="s">
        <v>125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>"14:51:45.453"</f>
        <v>14:51:45.453</v>
      </c>
      <c r="T1669" t="str">
        <f>"14:51:44.953"</f>
        <v>14:51:44.953</v>
      </c>
      <c r="U1669" t="str">
        <f t="shared" si="84"/>
        <v>A0F928</v>
      </c>
      <c r="V1669">
        <v>0</v>
      </c>
      <c r="W1669">
        <v>0</v>
      </c>
      <c r="X1669">
        <v>2</v>
      </c>
      <c r="Z1669">
        <v>0</v>
      </c>
      <c r="AA1669">
        <v>9</v>
      </c>
      <c r="AB1669">
        <v>3</v>
      </c>
      <c r="AC1669">
        <v>0</v>
      </c>
      <c r="AD1669">
        <v>10</v>
      </c>
      <c r="AE1669">
        <v>0</v>
      </c>
      <c r="AF1669">
        <v>3</v>
      </c>
      <c r="AG1669">
        <v>2</v>
      </c>
      <c r="AH1669">
        <v>1</v>
      </c>
      <c r="AI1669" t="s">
        <v>900</v>
      </c>
      <c r="AJ1669">
        <v>35.823669000000002</v>
      </c>
      <c r="AK1669" t="s">
        <v>901</v>
      </c>
      <c r="AL1669">
        <v>-84.020047000000005</v>
      </c>
      <c r="AM1669">
        <v>25</v>
      </c>
      <c r="AN1669">
        <v>1650</v>
      </c>
      <c r="AO1669" t="s">
        <v>118</v>
      </c>
      <c r="AP1669">
        <v>98</v>
      </c>
      <c r="AQ1669">
        <v>94</v>
      </c>
      <c r="AR1669">
        <v>0</v>
      </c>
      <c r="AZ1669">
        <v>300</v>
      </c>
      <c r="BA1669">
        <v>1</v>
      </c>
      <c r="BB1669" t="str">
        <f t="shared" si="83"/>
        <v xml:space="preserve">N162AM  </v>
      </c>
      <c r="BC1669">
        <v>1</v>
      </c>
      <c r="BE1669">
        <v>0</v>
      </c>
      <c r="BF1669">
        <v>0</v>
      </c>
      <c r="BG1669">
        <v>0</v>
      </c>
      <c r="BH1669">
        <v>1900</v>
      </c>
      <c r="BI1669">
        <v>1</v>
      </c>
      <c r="BJ1669">
        <v>1</v>
      </c>
      <c r="BK1669">
        <v>1</v>
      </c>
      <c r="BL1669">
        <v>0</v>
      </c>
      <c r="BO1669">
        <v>0</v>
      </c>
      <c r="BP1669">
        <v>0</v>
      </c>
      <c r="BW1669" t="str">
        <f>"14:51:45.457"</f>
        <v>14:51:45.457</v>
      </c>
      <c r="CJ1669">
        <v>3</v>
      </c>
      <c r="CK1669">
        <v>2</v>
      </c>
      <c r="CL1669">
        <v>0</v>
      </c>
      <c r="CM1669">
        <v>2</v>
      </c>
      <c r="CN1669">
        <v>0</v>
      </c>
      <c r="CO1669">
        <v>2</v>
      </c>
      <c r="CP1669" t="s">
        <v>119</v>
      </c>
      <c r="CQ1669">
        <v>216</v>
      </c>
      <c r="CR1669">
        <v>0</v>
      </c>
      <c r="CW1669">
        <v>1035562</v>
      </c>
      <c r="CY1669">
        <v>1</v>
      </c>
      <c r="CZ1669">
        <v>0</v>
      </c>
      <c r="DA1669">
        <v>1</v>
      </c>
      <c r="DB1669">
        <v>0</v>
      </c>
      <c r="DC1669">
        <v>0</v>
      </c>
      <c r="DD1669">
        <v>1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>"12/16/2021 14:51:46.680"</f>
        <v>12/16/2021 14:51:46.680</v>
      </c>
      <c r="C1670" t="str">
        <f t="shared" si="82"/>
        <v>FFDFD3C0</v>
      </c>
      <c r="D1670" t="s">
        <v>133</v>
      </c>
      <c r="E1670">
        <v>44</v>
      </c>
      <c r="H1670">
        <v>131</v>
      </c>
      <c r="I1670" t="s">
        <v>134</v>
      </c>
      <c r="J1670" t="s">
        <v>135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"14:51:46.477"</f>
        <v>14:51:46.477</v>
      </c>
      <c r="T1670" t="str">
        <f>"14:51:45.977"</f>
        <v>14:51:45.977</v>
      </c>
      <c r="U1670" t="str">
        <f t="shared" si="84"/>
        <v>A0F928</v>
      </c>
      <c r="V1670">
        <v>0</v>
      </c>
      <c r="W1670">
        <v>0</v>
      </c>
      <c r="X1670">
        <v>2</v>
      </c>
      <c r="Z1670">
        <v>0</v>
      </c>
      <c r="AA1670">
        <v>9</v>
      </c>
      <c r="AB1670">
        <v>3</v>
      </c>
      <c r="AC1670">
        <v>0</v>
      </c>
      <c r="AD1670">
        <v>10</v>
      </c>
      <c r="AE1670">
        <v>0</v>
      </c>
      <c r="AF1670">
        <v>3</v>
      </c>
      <c r="AG1670">
        <v>2</v>
      </c>
      <c r="AH1670">
        <v>1</v>
      </c>
      <c r="AI1670" t="s">
        <v>902</v>
      </c>
      <c r="AJ1670">
        <v>35.824142000000002</v>
      </c>
      <c r="AK1670" t="s">
        <v>903</v>
      </c>
      <c r="AL1670">
        <v>-84.019468000000003</v>
      </c>
      <c r="AM1670">
        <v>25</v>
      </c>
      <c r="AN1670">
        <v>1650</v>
      </c>
      <c r="AO1670" t="s">
        <v>118</v>
      </c>
      <c r="AP1670">
        <v>96</v>
      </c>
      <c r="AQ1670">
        <v>95</v>
      </c>
      <c r="AR1670">
        <v>0</v>
      </c>
      <c r="AZ1670">
        <v>300</v>
      </c>
      <c r="BA1670">
        <v>1</v>
      </c>
      <c r="BB1670" t="str">
        <f t="shared" si="83"/>
        <v xml:space="preserve">N162AM  </v>
      </c>
      <c r="BC1670">
        <v>1</v>
      </c>
      <c r="BE1670">
        <v>0</v>
      </c>
      <c r="BF1670">
        <v>0</v>
      </c>
      <c r="BG1670">
        <v>0</v>
      </c>
      <c r="BH1670">
        <v>1900</v>
      </c>
      <c r="BI1670">
        <v>1</v>
      </c>
      <c r="BJ1670">
        <v>1</v>
      </c>
      <c r="BK1670">
        <v>1</v>
      </c>
      <c r="BL1670">
        <v>0</v>
      </c>
      <c r="BO1670">
        <v>0</v>
      </c>
      <c r="BP1670">
        <v>0</v>
      </c>
      <c r="BW1670" t="str">
        <f>"14:51:46.483"</f>
        <v>14:51:46.483</v>
      </c>
      <c r="CJ1670">
        <v>3</v>
      </c>
      <c r="CK1670">
        <v>2</v>
      </c>
      <c r="CL1670">
        <v>0</v>
      </c>
      <c r="CM1670">
        <v>2</v>
      </c>
      <c r="CN1670">
        <v>0</v>
      </c>
      <c r="CO1670">
        <v>3</v>
      </c>
      <c r="CP1670" t="s">
        <v>119</v>
      </c>
      <c r="CQ1670">
        <v>216</v>
      </c>
      <c r="CR1670">
        <v>0</v>
      </c>
      <c r="CW1670">
        <v>1037077</v>
      </c>
      <c r="CY1670">
        <v>1</v>
      </c>
      <c r="CZ1670">
        <v>0</v>
      </c>
      <c r="DA1670">
        <v>0</v>
      </c>
      <c r="DB1670">
        <v>0</v>
      </c>
      <c r="DC1670">
        <v>0</v>
      </c>
      <c r="DD1670">
        <v>1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>"12/16/2021 14:51:46.680"</f>
        <v>12/16/2021 14:51:46.680</v>
      </c>
      <c r="C1671" t="str">
        <f t="shared" si="82"/>
        <v>FFDFD3C0</v>
      </c>
      <c r="D1671" t="s">
        <v>113</v>
      </c>
      <c r="E1671">
        <v>8</v>
      </c>
      <c r="H1671">
        <v>176</v>
      </c>
      <c r="I1671" t="s">
        <v>114</v>
      </c>
      <c r="J1671" t="s">
        <v>115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"14:51:46.477"</f>
        <v>14:51:46.477</v>
      </c>
      <c r="T1671" t="str">
        <f>"14:51:45.977"</f>
        <v>14:51:45.977</v>
      </c>
      <c r="U1671" t="str">
        <f t="shared" si="84"/>
        <v>A0F928</v>
      </c>
      <c r="V1671">
        <v>0</v>
      </c>
      <c r="W1671">
        <v>0</v>
      </c>
      <c r="X1671">
        <v>2</v>
      </c>
      <c r="Z1671">
        <v>0</v>
      </c>
      <c r="AA1671">
        <v>9</v>
      </c>
      <c r="AB1671">
        <v>3</v>
      </c>
      <c r="AC1671">
        <v>0</v>
      </c>
      <c r="AD1671">
        <v>10</v>
      </c>
      <c r="AE1671">
        <v>0</v>
      </c>
      <c r="AF1671">
        <v>3</v>
      </c>
      <c r="AG1671">
        <v>2</v>
      </c>
      <c r="AH1671">
        <v>1</v>
      </c>
      <c r="AI1671" t="s">
        <v>902</v>
      </c>
      <c r="AJ1671">
        <v>35.824142000000002</v>
      </c>
      <c r="AK1671" t="s">
        <v>903</v>
      </c>
      <c r="AL1671">
        <v>-84.019468000000003</v>
      </c>
      <c r="AM1671">
        <v>25</v>
      </c>
      <c r="AN1671">
        <v>1650</v>
      </c>
      <c r="AO1671" t="s">
        <v>118</v>
      </c>
      <c r="AP1671">
        <v>96</v>
      </c>
      <c r="AQ1671">
        <v>95</v>
      </c>
      <c r="AR1671">
        <v>0</v>
      </c>
      <c r="AZ1671">
        <v>300</v>
      </c>
      <c r="BA1671">
        <v>1</v>
      </c>
      <c r="BB1671" t="str">
        <f t="shared" si="83"/>
        <v xml:space="preserve">N162AM  </v>
      </c>
      <c r="BC1671">
        <v>1</v>
      </c>
      <c r="BE1671">
        <v>0</v>
      </c>
      <c r="BF1671">
        <v>0</v>
      </c>
      <c r="BG1671">
        <v>0</v>
      </c>
      <c r="BH1671">
        <v>1900</v>
      </c>
      <c r="BI1671">
        <v>1</v>
      </c>
      <c r="BJ1671">
        <v>1</v>
      </c>
      <c r="BK1671">
        <v>1</v>
      </c>
      <c r="BL1671">
        <v>0</v>
      </c>
      <c r="BO1671">
        <v>0</v>
      </c>
      <c r="BP1671">
        <v>0</v>
      </c>
      <c r="BW1671" t="str">
        <f>"14:51:46.483"</f>
        <v>14:51:46.483</v>
      </c>
      <c r="CJ1671">
        <v>3</v>
      </c>
      <c r="CK1671">
        <v>2</v>
      </c>
      <c r="CL1671">
        <v>0</v>
      </c>
      <c r="CM1671">
        <v>2</v>
      </c>
      <c r="CN1671">
        <v>0</v>
      </c>
      <c r="CO1671">
        <v>3</v>
      </c>
      <c r="CP1671" t="s">
        <v>119</v>
      </c>
      <c r="CQ1671">
        <v>216</v>
      </c>
      <c r="CR1671">
        <v>0</v>
      </c>
      <c r="CW1671">
        <v>1037077</v>
      </c>
      <c r="CY1671">
        <v>1</v>
      </c>
      <c r="CZ1671">
        <v>0</v>
      </c>
      <c r="DA1671">
        <v>1</v>
      </c>
      <c r="DB1671">
        <v>0</v>
      </c>
      <c r="DC1671">
        <v>0</v>
      </c>
      <c r="DD1671">
        <v>1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>"12/16/2021 14:51:46.695"</f>
        <v>12/16/2021 14:51:46.695</v>
      </c>
      <c r="C1672" t="str">
        <f t="shared" si="82"/>
        <v>FFDFD3C0</v>
      </c>
      <c r="D1672" t="s">
        <v>124</v>
      </c>
      <c r="E1672">
        <v>5</v>
      </c>
      <c r="F1672">
        <v>1005</v>
      </c>
      <c r="G1672" t="s">
        <v>114</v>
      </c>
      <c r="J1672" t="s">
        <v>125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"14:51:46.477"</f>
        <v>14:51:46.477</v>
      </c>
      <c r="T1672" t="str">
        <f>"14:51:45.977"</f>
        <v>14:51:45.977</v>
      </c>
      <c r="U1672" t="str">
        <f t="shared" si="84"/>
        <v>A0F928</v>
      </c>
      <c r="V1672">
        <v>0</v>
      </c>
      <c r="W1672">
        <v>0</v>
      </c>
      <c r="X1672">
        <v>2</v>
      </c>
      <c r="Z1672">
        <v>0</v>
      </c>
      <c r="AA1672">
        <v>9</v>
      </c>
      <c r="AB1672">
        <v>3</v>
      </c>
      <c r="AC1672">
        <v>0</v>
      </c>
      <c r="AD1672">
        <v>10</v>
      </c>
      <c r="AE1672">
        <v>0</v>
      </c>
      <c r="AF1672">
        <v>3</v>
      </c>
      <c r="AG1672">
        <v>2</v>
      </c>
      <c r="AH1672">
        <v>1</v>
      </c>
      <c r="AI1672" t="s">
        <v>902</v>
      </c>
      <c r="AJ1672">
        <v>35.824142000000002</v>
      </c>
      <c r="AK1672" t="s">
        <v>903</v>
      </c>
      <c r="AL1672">
        <v>-84.019468000000003</v>
      </c>
      <c r="AM1672">
        <v>25</v>
      </c>
      <c r="AN1672">
        <v>1650</v>
      </c>
      <c r="AO1672" t="s">
        <v>118</v>
      </c>
      <c r="AP1672">
        <v>96</v>
      </c>
      <c r="AQ1672">
        <v>95</v>
      </c>
      <c r="AR1672">
        <v>0</v>
      </c>
      <c r="AZ1672">
        <v>300</v>
      </c>
      <c r="BA1672">
        <v>1</v>
      </c>
      <c r="BB1672" t="str">
        <f t="shared" si="83"/>
        <v xml:space="preserve">N162AM  </v>
      </c>
      <c r="BC1672">
        <v>1</v>
      </c>
      <c r="BE1672">
        <v>0</v>
      </c>
      <c r="BF1672">
        <v>0</v>
      </c>
      <c r="BG1672">
        <v>0</v>
      </c>
      <c r="BH1672">
        <v>1900</v>
      </c>
      <c r="BI1672">
        <v>1</v>
      </c>
      <c r="BJ1672">
        <v>1</v>
      </c>
      <c r="BK1672">
        <v>1</v>
      </c>
      <c r="BL1672">
        <v>0</v>
      </c>
      <c r="BO1672">
        <v>0</v>
      </c>
      <c r="BP1672">
        <v>0</v>
      </c>
      <c r="BW1672" t="str">
        <f>"14:51:46.483"</f>
        <v>14:51:46.483</v>
      </c>
      <c r="CJ1672">
        <v>3</v>
      </c>
      <c r="CK1672">
        <v>2</v>
      </c>
      <c r="CL1672">
        <v>0</v>
      </c>
      <c r="CM1672">
        <v>2</v>
      </c>
      <c r="CN1672">
        <v>0</v>
      </c>
      <c r="CO1672">
        <v>3</v>
      </c>
      <c r="CP1672" t="s">
        <v>119</v>
      </c>
      <c r="CQ1672">
        <v>216</v>
      </c>
      <c r="CR1672">
        <v>0</v>
      </c>
      <c r="CW1672">
        <v>1037077</v>
      </c>
      <c r="CY1672">
        <v>1</v>
      </c>
      <c r="CZ1672">
        <v>0</v>
      </c>
      <c r="DA1672">
        <v>1</v>
      </c>
      <c r="DB1672">
        <v>0</v>
      </c>
      <c r="DC1672">
        <v>0</v>
      </c>
      <c r="DD1672">
        <v>1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>"12/16/2021 14:51:46.711"</f>
        <v>12/16/2021 14:51:46.711</v>
      </c>
      <c r="C1673" t="str">
        <f t="shared" si="82"/>
        <v>FFDFD3C0</v>
      </c>
      <c r="D1673" t="s">
        <v>124</v>
      </c>
      <c r="E1673">
        <v>10</v>
      </c>
      <c r="F1673">
        <v>1010</v>
      </c>
      <c r="G1673" t="s">
        <v>130</v>
      </c>
      <c r="J1673" t="s">
        <v>125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>"14:51:46.477"</f>
        <v>14:51:46.477</v>
      </c>
      <c r="T1673" t="str">
        <f>"14:51:45.977"</f>
        <v>14:51:45.977</v>
      </c>
      <c r="U1673" t="str">
        <f t="shared" si="84"/>
        <v>A0F928</v>
      </c>
      <c r="V1673">
        <v>0</v>
      </c>
      <c r="W1673">
        <v>0</v>
      </c>
      <c r="X1673">
        <v>2</v>
      </c>
      <c r="Z1673">
        <v>0</v>
      </c>
      <c r="AA1673">
        <v>9</v>
      </c>
      <c r="AB1673">
        <v>3</v>
      </c>
      <c r="AC1673">
        <v>0</v>
      </c>
      <c r="AD1673">
        <v>10</v>
      </c>
      <c r="AE1673">
        <v>0</v>
      </c>
      <c r="AF1673">
        <v>3</v>
      </c>
      <c r="AG1673">
        <v>2</v>
      </c>
      <c r="AH1673">
        <v>1</v>
      </c>
      <c r="AI1673" t="s">
        <v>902</v>
      </c>
      <c r="AJ1673">
        <v>35.824142000000002</v>
      </c>
      <c r="AK1673" t="s">
        <v>903</v>
      </c>
      <c r="AL1673">
        <v>-84.019468000000003</v>
      </c>
      <c r="AM1673">
        <v>25</v>
      </c>
      <c r="AN1673">
        <v>1650</v>
      </c>
      <c r="AO1673" t="s">
        <v>118</v>
      </c>
      <c r="AP1673">
        <v>96</v>
      </c>
      <c r="AQ1673">
        <v>95</v>
      </c>
      <c r="AR1673">
        <v>0</v>
      </c>
      <c r="AZ1673">
        <v>300</v>
      </c>
      <c r="BA1673">
        <v>1</v>
      </c>
      <c r="BB1673" t="str">
        <f t="shared" si="83"/>
        <v xml:space="preserve">N162AM  </v>
      </c>
      <c r="BC1673">
        <v>1</v>
      </c>
      <c r="BE1673">
        <v>0</v>
      </c>
      <c r="BF1673">
        <v>0</v>
      </c>
      <c r="BG1673">
        <v>0</v>
      </c>
      <c r="BH1673">
        <v>1900</v>
      </c>
      <c r="BI1673">
        <v>1</v>
      </c>
      <c r="BJ1673">
        <v>1</v>
      </c>
      <c r="BK1673">
        <v>1</v>
      </c>
      <c r="BL1673">
        <v>0</v>
      </c>
      <c r="BO1673">
        <v>0</v>
      </c>
      <c r="BP1673">
        <v>0</v>
      </c>
      <c r="BW1673" t="str">
        <f>"14:51:46.483"</f>
        <v>14:51:46.483</v>
      </c>
      <c r="CJ1673">
        <v>3</v>
      </c>
      <c r="CK1673">
        <v>2</v>
      </c>
      <c r="CL1673">
        <v>0</v>
      </c>
      <c r="CM1673">
        <v>2</v>
      </c>
      <c r="CN1673">
        <v>0</v>
      </c>
      <c r="CO1673">
        <v>3</v>
      </c>
      <c r="CP1673" t="s">
        <v>119</v>
      </c>
      <c r="CQ1673">
        <v>216</v>
      </c>
      <c r="CR1673">
        <v>0</v>
      </c>
      <c r="CW1673">
        <v>1037077</v>
      </c>
      <c r="CY1673">
        <v>1</v>
      </c>
      <c r="CZ1673">
        <v>0</v>
      </c>
      <c r="DA1673">
        <v>1</v>
      </c>
      <c r="DB1673">
        <v>0</v>
      </c>
      <c r="DC1673">
        <v>0</v>
      </c>
      <c r="DD1673">
        <v>1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>"12/16/2021 14:51:47.789"</f>
        <v>12/16/2021 14:51:47.789</v>
      </c>
      <c r="C1674" t="str">
        <f t="shared" si="82"/>
        <v>FFDFD3C0</v>
      </c>
      <c r="D1674" t="s">
        <v>124</v>
      </c>
      <c r="E1674">
        <v>5</v>
      </c>
      <c r="F1674">
        <v>1005</v>
      </c>
      <c r="G1674" t="s">
        <v>114</v>
      </c>
      <c r="J1674" t="s">
        <v>125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>"14:51:47.539"</f>
        <v>14:51:47.539</v>
      </c>
      <c r="T1674" t="str">
        <f>"14:51:47.039"</f>
        <v>14:51:47.039</v>
      </c>
      <c r="U1674" t="str">
        <f t="shared" si="84"/>
        <v>A0F928</v>
      </c>
      <c r="V1674">
        <v>0</v>
      </c>
      <c r="W1674">
        <v>0</v>
      </c>
      <c r="X1674">
        <v>2</v>
      </c>
      <c r="Z1674">
        <v>0</v>
      </c>
      <c r="AA1674">
        <v>9</v>
      </c>
      <c r="AB1674">
        <v>3</v>
      </c>
      <c r="AC1674">
        <v>0</v>
      </c>
      <c r="AD1674">
        <v>10</v>
      </c>
      <c r="AE1674">
        <v>0</v>
      </c>
      <c r="AF1674">
        <v>3</v>
      </c>
      <c r="AG1674">
        <v>2</v>
      </c>
      <c r="AH1674">
        <v>1</v>
      </c>
      <c r="AI1674" t="s">
        <v>904</v>
      </c>
      <c r="AJ1674">
        <v>35.824548999999998</v>
      </c>
      <c r="AK1674" t="s">
        <v>905</v>
      </c>
      <c r="AL1674">
        <v>-84.018930999999995</v>
      </c>
      <c r="AM1674">
        <v>25</v>
      </c>
      <c r="AN1674">
        <v>1650</v>
      </c>
      <c r="AO1674" t="s">
        <v>118</v>
      </c>
      <c r="AP1674">
        <v>95</v>
      </c>
      <c r="AQ1674">
        <v>96</v>
      </c>
      <c r="AR1674">
        <v>-64</v>
      </c>
      <c r="AZ1674">
        <v>300</v>
      </c>
      <c r="BA1674">
        <v>1</v>
      </c>
      <c r="BB1674" t="str">
        <f t="shared" si="83"/>
        <v xml:space="preserve">N162AM  </v>
      </c>
      <c r="BC1674">
        <v>1</v>
      </c>
      <c r="BE1674">
        <v>0</v>
      </c>
      <c r="BF1674">
        <v>0</v>
      </c>
      <c r="BG1674">
        <v>0</v>
      </c>
      <c r="BH1674">
        <v>1900</v>
      </c>
      <c r="BI1674">
        <v>1</v>
      </c>
      <c r="BJ1674">
        <v>1</v>
      </c>
      <c r="BK1674">
        <v>1</v>
      </c>
      <c r="BL1674">
        <v>0</v>
      </c>
      <c r="BO1674">
        <v>0</v>
      </c>
      <c r="BP1674">
        <v>0</v>
      </c>
      <c r="BW1674" t="str">
        <f>"14:51:47.539"</f>
        <v>14:51:47.539</v>
      </c>
      <c r="CJ1674">
        <v>3</v>
      </c>
      <c r="CK1674">
        <v>2</v>
      </c>
      <c r="CL1674">
        <v>0</v>
      </c>
      <c r="CM1674">
        <v>2</v>
      </c>
      <c r="CN1674">
        <v>0</v>
      </c>
      <c r="CO1674">
        <v>2</v>
      </c>
      <c r="CP1674" t="s">
        <v>119</v>
      </c>
      <c r="CQ1674">
        <v>216</v>
      </c>
      <c r="CR1674">
        <v>0</v>
      </c>
      <c r="CW1674">
        <v>1038454</v>
      </c>
      <c r="CY1674">
        <v>1</v>
      </c>
      <c r="CZ1674">
        <v>0</v>
      </c>
      <c r="DA1674">
        <v>0</v>
      </c>
      <c r="DB1674">
        <v>0</v>
      </c>
      <c r="DC1674">
        <v>0</v>
      </c>
      <c r="DD1674">
        <v>1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>"12/16/2021 14:51:47.789"</f>
        <v>12/16/2021 14:51:47.789</v>
      </c>
      <c r="C1675" t="str">
        <f t="shared" si="82"/>
        <v>FFDFD3C0</v>
      </c>
      <c r="D1675" t="s">
        <v>124</v>
      </c>
      <c r="E1675">
        <v>10</v>
      </c>
      <c r="F1675">
        <v>1010</v>
      </c>
      <c r="G1675" t="s">
        <v>130</v>
      </c>
      <c r="J1675" t="s">
        <v>125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>"14:51:47.539"</f>
        <v>14:51:47.539</v>
      </c>
      <c r="T1675" t="str">
        <f>"14:51:47.039"</f>
        <v>14:51:47.039</v>
      </c>
      <c r="U1675" t="str">
        <f t="shared" si="84"/>
        <v>A0F928</v>
      </c>
      <c r="V1675">
        <v>0</v>
      </c>
      <c r="W1675">
        <v>0</v>
      </c>
      <c r="X1675">
        <v>2</v>
      </c>
      <c r="Z1675">
        <v>0</v>
      </c>
      <c r="AA1675">
        <v>9</v>
      </c>
      <c r="AB1675">
        <v>3</v>
      </c>
      <c r="AC1675">
        <v>0</v>
      </c>
      <c r="AD1675">
        <v>10</v>
      </c>
      <c r="AE1675">
        <v>0</v>
      </c>
      <c r="AF1675">
        <v>3</v>
      </c>
      <c r="AG1675">
        <v>2</v>
      </c>
      <c r="AH1675">
        <v>1</v>
      </c>
      <c r="AI1675" t="s">
        <v>904</v>
      </c>
      <c r="AJ1675">
        <v>35.824548999999998</v>
      </c>
      <c r="AK1675" t="s">
        <v>905</v>
      </c>
      <c r="AL1675">
        <v>-84.018930999999995</v>
      </c>
      <c r="AM1675">
        <v>25</v>
      </c>
      <c r="AN1675">
        <v>1650</v>
      </c>
      <c r="AO1675" t="s">
        <v>118</v>
      </c>
      <c r="AP1675">
        <v>95</v>
      </c>
      <c r="AQ1675">
        <v>96</v>
      </c>
      <c r="AR1675">
        <v>-64</v>
      </c>
      <c r="AZ1675">
        <v>300</v>
      </c>
      <c r="BA1675">
        <v>1</v>
      </c>
      <c r="BB1675" t="str">
        <f t="shared" si="83"/>
        <v xml:space="preserve">N162AM  </v>
      </c>
      <c r="BC1675">
        <v>1</v>
      </c>
      <c r="BE1675">
        <v>0</v>
      </c>
      <c r="BF1675">
        <v>0</v>
      </c>
      <c r="BG1675">
        <v>0</v>
      </c>
      <c r="BH1675">
        <v>1900</v>
      </c>
      <c r="BI1675">
        <v>1</v>
      </c>
      <c r="BJ1675">
        <v>1</v>
      </c>
      <c r="BK1675">
        <v>1</v>
      </c>
      <c r="BL1675">
        <v>0</v>
      </c>
      <c r="BO1675">
        <v>0</v>
      </c>
      <c r="BP1675">
        <v>0</v>
      </c>
      <c r="BW1675" t="str">
        <f>"14:51:47.539"</f>
        <v>14:51:47.539</v>
      </c>
      <c r="CJ1675">
        <v>3</v>
      </c>
      <c r="CK1675">
        <v>2</v>
      </c>
      <c r="CL1675">
        <v>0</v>
      </c>
      <c r="CM1675">
        <v>2</v>
      </c>
      <c r="CN1675">
        <v>0</v>
      </c>
      <c r="CO1675">
        <v>2</v>
      </c>
      <c r="CP1675" t="s">
        <v>119</v>
      </c>
      <c r="CQ1675">
        <v>216</v>
      </c>
      <c r="CR1675">
        <v>0</v>
      </c>
      <c r="CW1675">
        <v>1038454</v>
      </c>
      <c r="CY1675">
        <v>1</v>
      </c>
      <c r="CZ1675">
        <v>0</v>
      </c>
      <c r="DA1675">
        <v>1</v>
      </c>
      <c r="DB1675">
        <v>0</v>
      </c>
      <c r="DC1675">
        <v>0</v>
      </c>
      <c r="DD1675">
        <v>1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>"12/16/2021 14:51:47.789"</f>
        <v>12/16/2021 14:51:47.789</v>
      </c>
      <c r="C1676" t="str">
        <f t="shared" si="82"/>
        <v>FFDFD3C0</v>
      </c>
      <c r="D1676" t="s">
        <v>133</v>
      </c>
      <c r="E1676">
        <v>44</v>
      </c>
      <c r="H1676">
        <v>131</v>
      </c>
      <c r="I1676" t="s">
        <v>134</v>
      </c>
      <c r="J1676" t="s">
        <v>135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>"14:51:47.539"</f>
        <v>14:51:47.539</v>
      </c>
      <c r="T1676" t="str">
        <f>"14:51:47.039"</f>
        <v>14:51:47.039</v>
      </c>
      <c r="U1676" t="str">
        <f t="shared" si="84"/>
        <v>A0F928</v>
      </c>
      <c r="V1676">
        <v>0</v>
      </c>
      <c r="W1676">
        <v>0</v>
      </c>
      <c r="X1676">
        <v>2</v>
      </c>
      <c r="Z1676">
        <v>0</v>
      </c>
      <c r="AA1676">
        <v>9</v>
      </c>
      <c r="AB1676">
        <v>3</v>
      </c>
      <c r="AC1676">
        <v>0</v>
      </c>
      <c r="AD1676">
        <v>10</v>
      </c>
      <c r="AE1676">
        <v>0</v>
      </c>
      <c r="AF1676">
        <v>3</v>
      </c>
      <c r="AG1676">
        <v>2</v>
      </c>
      <c r="AH1676">
        <v>1</v>
      </c>
      <c r="AI1676" t="s">
        <v>904</v>
      </c>
      <c r="AJ1676">
        <v>35.824548999999998</v>
      </c>
      <c r="AK1676" t="s">
        <v>905</v>
      </c>
      <c r="AL1676">
        <v>-84.018930999999995</v>
      </c>
      <c r="AM1676">
        <v>25</v>
      </c>
      <c r="AN1676">
        <v>1650</v>
      </c>
      <c r="AO1676" t="s">
        <v>118</v>
      </c>
      <c r="AP1676">
        <v>95</v>
      </c>
      <c r="AQ1676">
        <v>96</v>
      </c>
      <c r="AR1676">
        <v>-64</v>
      </c>
      <c r="AZ1676">
        <v>300</v>
      </c>
      <c r="BA1676">
        <v>1</v>
      </c>
      <c r="BB1676" t="str">
        <f t="shared" si="83"/>
        <v xml:space="preserve">N162AM  </v>
      </c>
      <c r="BC1676">
        <v>1</v>
      </c>
      <c r="BE1676">
        <v>0</v>
      </c>
      <c r="BF1676">
        <v>0</v>
      </c>
      <c r="BG1676">
        <v>0</v>
      </c>
      <c r="BH1676">
        <v>1900</v>
      </c>
      <c r="BI1676">
        <v>1</v>
      </c>
      <c r="BJ1676">
        <v>1</v>
      </c>
      <c r="BK1676">
        <v>1</v>
      </c>
      <c r="BL1676">
        <v>0</v>
      </c>
      <c r="BO1676">
        <v>0</v>
      </c>
      <c r="BP1676">
        <v>0</v>
      </c>
      <c r="BW1676" t="str">
        <f>"14:51:47.539"</f>
        <v>14:51:47.539</v>
      </c>
      <c r="CJ1676">
        <v>3</v>
      </c>
      <c r="CK1676">
        <v>2</v>
      </c>
      <c r="CL1676">
        <v>0</v>
      </c>
      <c r="CM1676">
        <v>2</v>
      </c>
      <c r="CN1676">
        <v>0</v>
      </c>
      <c r="CO1676">
        <v>2</v>
      </c>
      <c r="CP1676" t="s">
        <v>119</v>
      </c>
      <c r="CQ1676">
        <v>216</v>
      </c>
      <c r="CR1676">
        <v>0</v>
      </c>
      <c r="CW1676">
        <v>1038454</v>
      </c>
      <c r="CY1676">
        <v>1</v>
      </c>
      <c r="CZ1676">
        <v>0</v>
      </c>
      <c r="DA1676">
        <v>1</v>
      </c>
      <c r="DB1676">
        <v>0</v>
      </c>
      <c r="DC1676">
        <v>0</v>
      </c>
      <c r="DD1676">
        <v>1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>"12/16/2021 14:51:47.789"</f>
        <v>12/16/2021 14:51:47.789</v>
      </c>
      <c r="C1677" t="str">
        <f t="shared" si="82"/>
        <v>FFDFD3C0</v>
      </c>
      <c r="D1677" t="s">
        <v>113</v>
      </c>
      <c r="E1677">
        <v>8</v>
      </c>
      <c r="H1677">
        <v>176</v>
      </c>
      <c r="I1677" t="s">
        <v>114</v>
      </c>
      <c r="J1677" t="s">
        <v>115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>"14:51:47.539"</f>
        <v>14:51:47.539</v>
      </c>
      <c r="T1677" t="str">
        <f>"14:51:47.039"</f>
        <v>14:51:47.039</v>
      </c>
      <c r="U1677" t="str">
        <f t="shared" si="84"/>
        <v>A0F928</v>
      </c>
      <c r="V1677">
        <v>0</v>
      </c>
      <c r="W1677">
        <v>0</v>
      </c>
      <c r="X1677">
        <v>2</v>
      </c>
      <c r="Z1677">
        <v>0</v>
      </c>
      <c r="AA1677">
        <v>9</v>
      </c>
      <c r="AB1677">
        <v>3</v>
      </c>
      <c r="AC1677">
        <v>0</v>
      </c>
      <c r="AD1677">
        <v>10</v>
      </c>
      <c r="AE1677">
        <v>0</v>
      </c>
      <c r="AF1677">
        <v>3</v>
      </c>
      <c r="AG1677">
        <v>2</v>
      </c>
      <c r="AH1677">
        <v>1</v>
      </c>
      <c r="AI1677" t="s">
        <v>904</v>
      </c>
      <c r="AJ1677">
        <v>35.824548999999998</v>
      </c>
      <c r="AK1677" t="s">
        <v>905</v>
      </c>
      <c r="AL1677">
        <v>-84.018930999999995</v>
      </c>
      <c r="AM1677">
        <v>25</v>
      </c>
      <c r="AN1677">
        <v>1650</v>
      </c>
      <c r="AO1677" t="s">
        <v>118</v>
      </c>
      <c r="AP1677">
        <v>95</v>
      </c>
      <c r="AQ1677">
        <v>96</v>
      </c>
      <c r="AR1677">
        <v>-64</v>
      </c>
      <c r="AZ1677">
        <v>300</v>
      </c>
      <c r="BA1677">
        <v>1</v>
      </c>
      <c r="BB1677" t="str">
        <f t="shared" si="83"/>
        <v xml:space="preserve">N162AM  </v>
      </c>
      <c r="BC1677">
        <v>1</v>
      </c>
      <c r="BE1677">
        <v>0</v>
      </c>
      <c r="BF1677">
        <v>0</v>
      </c>
      <c r="BG1677">
        <v>0</v>
      </c>
      <c r="BH1677">
        <v>1900</v>
      </c>
      <c r="BI1677">
        <v>1</v>
      </c>
      <c r="BJ1677">
        <v>1</v>
      </c>
      <c r="BK1677">
        <v>1</v>
      </c>
      <c r="BL1677">
        <v>0</v>
      </c>
      <c r="BO1677">
        <v>0</v>
      </c>
      <c r="BP1677">
        <v>0</v>
      </c>
      <c r="BW1677" t="str">
        <f>"14:51:47.539"</f>
        <v>14:51:47.539</v>
      </c>
      <c r="CJ1677">
        <v>3</v>
      </c>
      <c r="CK1677">
        <v>2</v>
      </c>
      <c r="CL1677">
        <v>0</v>
      </c>
      <c r="CM1677">
        <v>2</v>
      </c>
      <c r="CN1677">
        <v>0</v>
      </c>
      <c r="CO1677">
        <v>2</v>
      </c>
      <c r="CP1677" t="s">
        <v>119</v>
      </c>
      <c r="CQ1677">
        <v>216</v>
      </c>
      <c r="CR1677">
        <v>0</v>
      </c>
      <c r="CW1677">
        <v>1038454</v>
      </c>
      <c r="CY1677">
        <v>1</v>
      </c>
      <c r="CZ1677">
        <v>0</v>
      </c>
      <c r="DA1677">
        <v>1</v>
      </c>
      <c r="DB1677">
        <v>0</v>
      </c>
      <c r="DC1677">
        <v>0</v>
      </c>
      <c r="DD1677">
        <v>1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>"12/16/2021 14:51:48.727"</f>
        <v>12/16/2021 14:51:48.727</v>
      </c>
      <c r="C1678" t="str">
        <f t="shared" si="82"/>
        <v>FFDFD3C0</v>
      </c>
      <c r="D1678" t="s">
        <v>133</v>
      </c>
      <c r="E1678">
        <v>44</v>
      </c>
      <c r="H1678">
        <v>131</v>
      </c>
      <c r="I1678" t="s">
        <v>134</v>
      </c>
      <c r="J1678" t="s">
        <v>135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>"14:51:48.477"</f>
        <v>14:51:48.477</v>
      </c>
      <c r="T1678" t="str">
        <f>"14:51:48.077"</f>
        <v>14:51:48.077</v>
      </c>
      <c r="U1678" t="str">
        <f t="shared" si="84"/>
        <v>A0F928</v>
      </c>
      <c r="V1678">
        <v>0</v>
      </c>
      <c r="W1678">
        <v>0</v>
      </c>
      <c r="X1678">
        <v>2</v>
      </c>
      <c r="Z1678">
        <v>0</v>
      </c>
      <c r="AA1678">
        <v>9</v>
      </c>
      <c r="AB1678">
        <v>3</v>
      </c>
      <c r="AC1678">
        <v>0</v>
      </c>
      <c r="AD1678">
        <v>10</v>
      </c>
      <c r="AE1678">
        <v>0</v>
      </c>
      <c r="AF1678">
        <v>3</v>
      </c>
      <c r="AG1678">
        <v>2</v>
      </c>
      <c r="AH1678">
        <v>1</v>
      </c>
      <c r="AI1678" t="s">
        <v>906</v>
      </c>
      <c r="AJ1678">
        <v>35.825021</v>
      </c>
      <c r="AK1678" t="s">
        <v>907</v>
      </c>
      <c r="AL1678">
        <v>-84.018416000000002</v>
      </c>
      <c r="AM1678">
        <v>25</v>
      </c>
      <c r="AN1678">
        <v>1650</v>
      </c>
      <c r="AO1678" t="s">
        <v>118</v>
      </c>
      <c r="AP1678">
        <v>94</v>
      </c>
      <c r="AQ1678">
        <v>97</v>
      </c>
      <c r="AR1678">
        <v>-64</v>
      </c>
      <c r="AZ1678">
        <v>300</v>
      </c>
      <c r="BA1678">
        <v>1</v>
      </c>
      <c r="BB1678" t="str">
        <f t="shared" si="83"/>
        <v xml:space="preserve">N162AM  </v>
      </c>
      <c r="BC1678">
        <v>1</v>
      </c>
      <c r="BE1678">
        <v>0</v>
      </c>
      <c r="BF1678">
        <v>0</v>
      </c>
      <c r="BG1678">
        <v>0</v>
      </c>
      <c r="BH1678">
        <v>1900</v>
      </c>
      <c r="BI1678">
        <v>1</v>
      </c>
      <c r="BJ1678">
        <v>1</v>
      </c>
      <c r="BK1678">
        <v>1</v>
      </c>
      <c r="BL1678">
        <v>0</v>
      </c>
      <c r="BO1678">
        <v>0</v>
      </c>
      <c r="BP1678">
        <v>0</v>
      </c>
      <c r="BW1678" t="str">
        <f>"14:51:48.480"</f>
        <v>14:51:48.480</v>
      </c>
      <c r="CJ1678">
        <v>3</v>
      </c>
      <c r="CK1678">
        <v>2</v>
      </c>
      <c r="CL1678">
        <v>0</v>
      </c>
      <c r="CM1678">
        <v>2</v>
      </c>
      <c r="CN1678">
        <v>0</v>
      </c>
      <c r="CO1678">
        <v>2</v>
      </c>
      <c r="CP1678" t="s">
        <v>119</v>
      </c>
      <c r="CQ1678">
        <v>216</v>
      </c>
      <c r="CR1678">
        <v>0</v>
      </c>
      <c r="CW1678">
        <v>1039879</v>
      </c>
      <c r="CY1678">
        <v>1</v>
      </c>
      <c r="CZ1678">
        <v>0</v>
      </c>
      <c r="DA1678">
        <v>0</v>
      </c>
      <c r="DB1678">
        <v>0</v>
      </c>
      <c r="DC1678">
        <v>0</v>
      </c>
      <c r="DD1678">
        <v>1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>"12/16/2021 14:51:48.727"</f>
        <v>12/16/2021 14:51:48.727</v>
      </c>
      <c r="C1679" t="str">
        <f t="shared" si="82"/>
        <v>FFDFD3C0</v>
      </c>
      <c r="D1679" t="s">
        <v>124</v>
      </c>
      <c r="E1679">
        <v>5</v>
      </c>
      <c r="F1679">
        <v>1005</v>
      </c>
      <c r="G1679" t="s">
        <v>114</v>
      </c>
      <c r="J1679" t="s">
        <v>125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>"14:51:48.477"</f>
        <v>14:51:48.477</v>
      </c>
      <c r="T1679" t="str">
        <f>"14:51:48.077"</f>
        <v>14:51:48.077</v>
      </c>
      <c r="U1679" t="str">
        <f t="shared" si="84"/>
        <v>A0F928</v>
      </c>
      <c r="V1679">
        <v>0</v>
      </c>
      <c r="W1679">
        <v>0</v>
      </c>
      <c r="X1679">
        <v>2</v>
      </c>
      <c r="Z1679">
        <v>0</v>
      </c>
      <c r="AA1679">
        <v>9</v>
      </c>
      <c r="AB1679">
        <v>3</v>
      </c>
      <c r="AC1679">
        <v>0</v>
      </c>
      <c r="AD1679">
        <v>10</v>
      </c>
      <c r="AE1679">
        <v>0</v>
      </c>
      <c r="AF1679">
        <v>3</v>
      </c>
      <c r="AG1679">
        <v>2</v>
      </c>
      <c r="AH1679">
        <v>1</v>
      </c>
      <c r="AI1679" t="s">
        <v>906</v>
      </c>
      <c r="AJ1679">
        <v>35.825021</v>
      </c>
      <c r="AK1679" t="s">
        <v>907</v>
      </c>
      <c r="AL1679">
        <v>-84.018416000000002</v>
      </c>
      <c r="AM1679">
        <v>25</v>
      </c>
      <c r="AN1679">
        <v>1650</v>
      </c>
      <c r="AO1679" t="s">
        <v>118</v>
      </c>
      <c r="AP1679">
        <v>94</v>
      </c>
      <c r="AQ1679">
        <v>97</v>
      </c>
      <c r="AR1679">
        <v>-64</v>
      </c>
      <c r="AZ1679">
        <v>300</v>
      </c>
      <c r="BA1679">
        <v>1</v>
      </c>
      <c r="BB1679" t="str">
        <f t="shared" si="83"/>
        <v xml:space="preserve">N162AM  </v>
      </c>
      <c r="BC1679">
        <v>1</v>
      </c>
      <c r="BE1679">
        <v>0</v>
      </c>
      <c r="BF1679">
        <v>0</v>
      </c>
      <c r="BG1679">
        <v>0</v>
      </c>
      <c r="BH1679">
        <v>1900</v>
      </c>
      <c r="BI1679">
        <v>1</v>
      </c>
      <c r="BJ1679">
        <v>1</v>
      </c>
      <c r="BK1679">
        <v>1</v>
      </c>
      <c r="BL1679">
        <v>0</v>
      </c>
      <c r="BO1679">
        <v>0</v>
      </c>
      <c r="BP1679">
        <v>0</v>
      </c>
      <c r="BW1679" t="str">
        <f>"14:51:48.480"</f>
        <v>14:51:48.480</v>
      </c>
      <c r="CJ1679">
        <v>3</v>
      </c>
      <c r="CK1679">
        <v>2</v>
      </c>
      <c r="CL1679">
        <v>0</v>
      </c>
      <c r="CM1679">
        <v>2</v>
      </c>
      <c r="CN1679">
        <v>0</v>
      </c>
      <c r="CO1679">
        <v>2</v>
      </c>
      <c r="CP1679" t="s">
        <v>119</v>
      </c>
      <c r="CQ1679">
        <v>216</v>
      </c>
      <c r="CR1679">
        <v>0</v>
      </c>
      <c r="CW1679">
        <v>1039879</v>
      </c>
      <c r="CY1679">
        <v>1</v>
      </c>
      <c r="CZ1679">
        <v>0</v>
      </c>
      <c r="DA1679">
        <v>1</v>
      </c>
      <c r="DB1679">
        <v>0</v>
      </c>
      <c r="DC1679">
        <v>0</v>
      </c>
      <c r="DD1679">
        <v>1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>"12/16/2021 14:51:48.727"</f>
        <v>12/16/2021 14:51:48.727</v>
      </c>
      <c r="C1680" t="str">
        <f t="shared" si="82"/>
        <v>FFDFD3C0</v>
      </c>
      <c r="D1680" t="s">
        <v>113</v>
      </c>
      <c r="E1680">
        <v>8</v>
      </c>
      <c r="H1680">
        <v>176</v>
      </c>
      <c r="I1680" t="s">
        <v>114</v>
      </c>
      <c r="J1680" t="s">
        <v>115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>"14:51:48.477"</f>
        <v>14:51:48.477</v>
      </c>
      <c r="T1680" t="str">
        <f>"14:51:48.077"</f>
        <v>14:51:48.077</v>
      </c>
      <c r="U1680" t="str">
        <f t="shared" si="84"/>
        <v>A0F928</v>
      </c>
      <c r="V1680">
        <v>0</v>
      </c>
      <c r="W1680">
        <v>0</v>
      </c>
      <c r="X1680">
        <v>2</v>
      </c>
      <c r="Z1680">
        <v>0</v>
      </c>
      <c r="AA1680">
        <v>9</v>
      </c>
      <c r="AB1680">
        <v>3</v>
      </c>
      <c r="AC1680">
        <v>0</v>
      </c>
      <c r="AD1680">
        <v>10</v>
      </c>
      <c r="AE1680">
        <v>0</v>
      </c>
      <c r="AF1680">
        <v>3</v>
      </c>
      <c r="AG1680">
        <v>2</v>
      </c>
      <c r="AH1680">
        <v>1</v>
      </c>
      <c r="AI1680" t="s">
        <v>906</v>
      </c>
      <c r="AJ1680">
        <v>35.825021</v>
      </c>
      <c r="AK1680" t="s">
        <v>907</v>
      </c>
      <c r="AL1680">
        <v>-84.018416000000002</v>
      </c>
      <c r="AM1680">
        <v>25</v>
      </c>
      <c r="AN1680">
        <v>1650</v>
      </c>
      <c r="AO1680" t="s">
        <v>118</v>
      </c>
      <c r="AP1680">
        <v>94</v>
      </c>
      <c r="AQ1680">
        <v>97</v>
      </c>
      <c r="AR1680">
        <v>-64</v>
      </c>
      <c r="AZ1680">
        <v>300</v>
      </c>
      <c r="BA1680">
        <v>1</v>
      </c>
      <c r="BB1680" t="str">
        <f t="shared" si="83"/>
        <v xml:space="preserve">N162AM  </v>
      </c>
      <c r="BC1680">
        <v>1</v>
      </c>
      <c r="BE1680">
        <v>0</v>
      </c>
      <c r="BF1680">
        <v>0</v>
      </c>
      <c r="BG1680">
        <v>0</v>
      </c>
      <c r="BH1680">
        <v>1900</v>
      </c>
      <c r="BI1680">
        <v>1</v>
      </c>
      <c r="BJ1680">
        <v>1</v>
      </c>
      <c r="BK1680">
        <v>1</v>
      </c>
      <c r="BL1680">
        <v>0</v>
      </c>
      <c r="BO1680">
        <v>0</v>
      </c>
      <c r="BP1680">
        <v>0</v>
      </c>
      <c r="BW1680" t="str">
        <f>"14:51:48.480"</f>
        <v>14:51:48.480</v>
      </c>
      <c r="CJ1680">
        <v>3</v>
      </c>
      <c r="CK1680">
        <v>2</v>
      </c>
      <c r="CL1680">
        <v>0</v>
      </c>
      <c r="CM1680">
        <v>2</v>
      </c>
      <c r="CN1680">
        <v>0</v>
      </c>
      <c r="CO1680">
        <v>2</v>
      </c>
      <c r="CP1680" t="s">
        <v>119</v>
      </c>
      <c r="CQ1680">
        <v>216</v>
      </c>
      <c r="CR1680">
        <v>0</v>
      </c>
      <c r="CW1680">
        <v>1039879</v>
      </c>
      <c r="CY1680">
        <v>1</v>
      </c>
      <c r="CZ1680">
        <v>0</v>
      </c>
      <c r="DA1680">
        <v>1</v>
      </c>
      <c r="DB1680">
        <v>0</v>
      </c>
      <c r="DC1680">
        <v>0</v>
      </c>
      <c r="DD1680">
        <v>1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>"12/16/2021 14:51:48.727"</f>
        <v>12/16/2021 14:51:48.727</v>
      </c>
      <c r="C1681" t="str">
        <f t="shared" si="82"/>
        <v>FFDFD3C0</v>
      </c>
      <c r="D1681" t="s">
        <v>124</v>
      </c>
      <c r="E1681">
        <v>10</v>
      </c>
      <c r="F1681">
        <v>1010</v>
      </c>
      <c r="G1681" t="s">
        <v>130</v>
      </c>
      <c r="J1681" t="s">
        <v>125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>"14:51:48.477"</f>
        <v>14:51:48.477</v>
      </c>
      <c r="T1681" t="str">
        <f>"14:51:48.077"</f>
        <v>14:51:48.077</v>
      </c>
      <c r="U1681" t="str">
        <f t="shared" si="84"/>
        <v>A0F928</v>
      </c>
      <c r="V1681">
        <v>0</v>
      </c>
      <c r="W1681">
        <v>0</v>
      </c>
      <c r="X1681">
        <v>2</v>
      </c>
      <c r="Z1681">
        <v>0</v>
      </c>
      <c r="AA1681">
        <v>9</v>
      </c>
      <c r="AB1681">
        <v>3</v>
      </c>
      <c r="AC1681">
        <v>0</v>
      </c>
      <c r="AD1681">
        <v>10</v>
      </c>
      <c r="AE1681">
        <v>0</v>
      </c>
      <c r="AF1681">
        <v>3</v>
      </c>
      <c r="AG1681">
        <v>2</v>
      </c>
      <c r="AH1681">
        <v>1</v>
      </c>
      <c r="AI1681" t="s">
        <v>906</v>
      </c>
      <c r="AJ1681">
        <v>35.825021</v>
      </c>
      <c r="AK1681" t="s">
        <v>907</v>
      </c>
      <c r="AL1681">
        <v>-84.018416000000002</v>
      </c>
      <c r="AM1681">
        <v>25</v>
      </c>
      <c r="AN1681">
        <v>1650</v>
      </c>
      <c r="AO1681" t="s">
        <v>118</v>
      </c>
      <c r="AP1681">
        <v>94</v>
      </c>
      <c r="AQ1681">
        <v>97</v>
      </c>
      <c r="AR1681">
        <v>-64</v>
      </c>
      <c r="AZ1681">
        <v>300</v>
      </c>
      <c r="BA1681">
        <v>1</v>
      </c>
      <c r="BB1681" t="str">
        <f t="shared" si="83"/>
        <v xml:space="preserve">N162AM  </v>
      </c>
      <c r="BC1681">
        <v>1</v>
      </c>
      <c r="BE1681">
        <v>0</v>
      </c>
      <c r="BF1681">
        <v>0</v>
      </c>
      <c r="BG1681">
        <v>0</v>
      </c>
      <c r="BH1681">
        <v>1900</v>
      </c>
      <c r="BI1681">
        <v>1</v>
      </c>
      <c r="BJ1681">
        <v>1</v>
      </c>
      <c r="BK1681">
        <v>1</v>
      </c>
      <c r="BL1681">
        <v>0</v>
      </c>
      <c r="BO1681">
        <v>0</v>
      </c>
      <c r="BP1681">
        <v>0</v>
      </c>
      <c r="BW1681" t="str">
        <f>"14:51:48.480"</f>
        <v>14:51:48.480</v>
      </c>
      <c r="CJ1681">
        <v>3</v>
      </c>
      <c r="CK1681">
        <v>2</v>
      </c>
      <c r="CL1681">
        <v>0</v>
      </c>
      <c r="CM1681">
        <v>2</v>
      </c>
      <c r="CN1681">
        <v>0</v>
      </c>
      <c r="CO1681">
        <v>2</v>
      </c>
      <c r="CP1681" t="s">
        <v>119</v>
      </c>
      <c r="CQ1681">
        <v>216</v>
      </c>
      <c r="CR1681">
        <v>0</v>
      </c>
      <c r="CW1681">
        <v>1039879</v>
      </c>
      <c r="CY1681">
        <v>1</v>
      </c>
      <c r="CZ1681">
        <v>0</v>
      </c>
      <c r="DA1681">
        <v>1</v>
      </c>
      <c r="DB1681">
        <v>0</v>
      </c>
      <c r="DC1681">
        <v>0</v>
      </c>
      <c r="DD1681">
        <v>1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>"12/16/2021 14:51:49.647"</f>
        <v>12/16/2021 14:51:49.647</v>
      </c>
      <c r="C1682" t="str">
        <f t="shared" si="82"/>
        <v>FFDFD3C0</v>
      </c>
      <c r="D1682" t="s">
        <v>133</v>
      </c>
      <c r="E1682">
        <v>44</v>
      </c>
      <c r="H1682">
        <v>131</v>
      </c>
      <c r="I1682" t="s">
        <v>134</v>
      </c>
      <c r="J1682" t="s">
        <v>135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>"14:51:49.453"</f>
        <v>14:51:49.453</v>
      </c>
      <c r="T1682" t="str">
        <f>"14:51:48.953"</f>
        <v>14:51:48.953</v>
      </c>
      <c r="U1682" t="str">
        <f t="shared" si="84"/>
        <v>A0F928</v>
      </c>
      <c r="V1682">
        <v>0</v>
      </c>
      <c r="W1682">
        <v>0</v>
      </c>
      <c r="X1682">
        <v>2</v>
      </c>
      <c r="Z1682">
        <v>0</v>
      </c>
      <c r="AA1682">
        <v>9</v>
      </c>
      <c r="AB1682">
        <v>3</v>
      </c>
      <c r="AC1682">
        <v>0</v>
      </c>
      <c r="AD1682">
        <v>10</v>
      </c>
      <c r="AE1682">
        <v>0</v>
      </c>
      <c r="AF1682">
        <v>3</v>
      </c>
      <c r="AG1682">
        <v>2</v>
      </c>
      <c r="AH1682">
        <v>1</v>
      </c>
      <c r="AI1682" t="s">
        <v>908</v>
      </c>
      <c r="AJ1682">
        <v>35.825493000000002</v>
      </c>
      <c r="AK1682" t="s">
        <v>909</v>
      </c>
      <c r="AL1682">
        <v>-84.017880000000005</v>
      </c>
      <c r="AM1682">
        <v>25</v>
      </c>
      <c r="AN1682">
        <v>1650</v>
      </c>
      <c r="AO1682" t="s">
        <v>118</v>
      </c>
      <c r="AP1682">
        <v>92</v>
      </c>
      <c r="AQ1682">
        <v>98</v>
      </c>
      <c r="AR1682">
        <v>-128</v>
      </c>
      <c r="AZ1682">
        <v>300</v>
      </c>
      <c r="BA1682">
        <v>1</v>
      </c>
      <c r="BB1682" t="str">
        <f t="shared" si="83"/>
        <v xml:space="preserve">N162AM  </v>
      </c>
      <c r="BC1682">
        <v>1</v>
      </c>
      <c r="BE1682">
        <v>0</v>
      </c>
      <c r="BF1682">
        <v>0</v>
      </c>
      <c r="BG1682">
        <v>0</v>
      </c>
      <c r="BH1682">
        <v>1900</v>
      </c>
      <c r="BI1682">
        <v>1</v>
      </c>
      <c r="BJ1682">
        <v>1</v>
      </c>
      <c r="BK1682">
        <v>1</v>
      </c>
      <c r="BL1682">
        <v>0</v>
      </c>
      <c r="BO1682">
        <v>0</v>
      </c>
      <c r="BP1682">
        <v>0</v>
      </c>
      <c r="BW1682" t="str">
        <f>"14:51:49.456"</f>
        <v>14:51:49.456</v>
      </c>
      <c r="CJ1682">
        <v>3</v>
      </c>
      <c r="CK1682">
        <v>2</v>
      </c>
      <c r="CL1682">
        <v>0</v>
      </c>
      <c r="CM1682">
        <v>2</v>
      </c>
      <c r="CN1682">
        <v>0</v>
      </c>
      <c r="CO1682">
        <v>3</v>
      </c>
      <c r="CP1682" t="s">
        <v>119</v>
      </c>
      <c r="CQ1682">
        <v>216</v>
      </c>
      <c r="CR1682">
        <v>0</v>
      </c>
      <c r="CW1682">
        <v>1041377</v>
      </c>
      <c r="CY1682">
        <v>1</v>
      </c>
      <c r="CZ1682">
        <v>0</v>
      </c>
      <c r="DA1682">
        <v>0</v>
      </c>
      <c r="DB1682">
        <v>0</v>
      </c>
      <c r="DC1682">
        <v>0</v>
      </c>
      <c r="DD1682">
        <v>1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>"12/16/2021 14:51:49.663"</f>
        <v>12/16/2021 14:51:49.663</v>
      </c>
      <c r="C1683" t="str">
        <f t="shared" si="82"/>
        <v>FFDFD3C0</v>
      </c>
      <c r="D1683" t="s">
        <v>124</v>
      </c>
      <c r="E1683">
        <v>5</v>
      </c>
      <c r="F1683">
        <v>1005</v>
      </c>
      <c r="G1683" t="s">
        <v>114</v>
      </c>
      <c r="J1683" t="s">
        <v>125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>"14:51:49.453"</f>
        <v>14:51:49.453</v>
      </c>
      <c r="T1683" t="str">
        <f>"14:51:48.953"</f>
        <v>14:51:48.953</v>
      </c>
      <c r="U1683" t="str">
        <f t="shared" si="84"/>
        <v>A0F928</v>
      </c>
      <c r="V1683">
        <v>0</v>
      </c>
      <c r="W1683">
        <v>0</v>
      </c>
      <c r="X1683">
        <v>2</v>
      </c>
      <c r="Z1683">
        <v>0</v>
      </c>
      <c r="AA1683">
        <v>9</v>
      </c>
      <c r="AB1683">
        <v>3</v>
      </c>
      <c r="AC1683">
        <v>0</v>
      </c>
      <c r="AD1683">
        <v>10</v>
      </c>
      <c r="AE1683">
        <v>0</v>
      </c>
      <c r="AF1683">
        <v>3</v>
      </c>
      <c r="AG1683">
        <v>2</v>
      </c>
      <c r="AH1683">
        <v>1</v>
      </c>
      <c r="AI1683" t="s">
        <v>908</v>
      </c>
      <c r="AJ1683">
        <v>35.825493000000002</v>
      </c>
      <c r="AK1683" t="s">
        <v>909</v>
      </c>
      <c r="AL1683">
        <v>-84.017880000000005</v>
      </c>
      <c r="AM1683">
        <v>25</v>
      </c>
      <c r="AN1683">
        <v>1650</v>
      </c>
      <c r="AO1683" t="s">
        <v>118</v>
      </c>
      <c r="AP1683">
        <v>92</v>
      </c>
      <c r="AQ1683">
        <v>98</v>
      </c>
      <c r="AR1683">
        <v>-128</v>
      </c>
      <c r="AZ1683">
        <v>300</v>
      </c>
      <c r="BA1683">
        <v>1</v>
      </c>
      <c r="BB1683" t="str">
        <f t="shared" si="83"/>
        <v xml:space="preserve">N162AM  </v>
      </c>
      <c r="BC1683">
        <v>1</v>
      </c>
      <c r="BE1683">
        <v>0</v>
      </c>
      <c r="BF1683">
        <v>0</v>
      </c>
      <c r="BG1683">
        <v>0</v>
      </c>
      <c r="BH1683">
        <v>1900</v>
      </c>
      <c r="BI1683">
        <v>1</v>
      </c>
      <c r="BJ1683">
        <v>1</v>
      </c>
      <c r="BK1683">
        <v>1</v>
      </c>
      <c r="BL1683">
        <v>0</v>
      </c>
      <c r="BO1683">
        <v>0</v>
      </c>
      <c r="BP1683">
        <v>0</v>
      </c>
      <c r="BW1683" t="str">
        <f>"14:51:49.456"</f>
        <v>14:51:49.456</v>
      </c>
      <c r="CJ1683">
        <v>3</v>
      </c>
      <c r="CK1683">
        <v>2</v>
      </c>
      <c r="CL1683">
        <v>0</v>
      </c>
      <c r="CM1683">
        <v>2</v>
      </c>
      <c r="CN1683">
        <v>0</v>
      </c>
      <c r="CO1683">
        <v>3</v>
      </c>
      <c r="CP1683" t="s">
        <v>119</v>
      </c>
      <c r="CQ1683">
        <v>216</v>
      </c>
      <c r="CR1683">
        <v>0</v>
      </c>
      <c r="CW1683">
        <v>1041377</v>
      </c>
      <c r="CY1683">
        <v>1</v>
      </c>
      <c r="CZ1683">
        <v>0</v>
      </c>
      <c r="DA1683">
        <v>1</v>
      </c>
      <c r="DB1683">
        <v>0</v>
      </c>
      <c r="DC1683">
        <v>0</v>
      </c>
      <c r="DD1683">
        <v>1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>"12/16/2021 14:51:49.663"</f>
        <v>12/16/2021 14:51:49.663</v>
      </c>
      <c r="C1684" t="str">
        <f t="shared" si="82"/>
        <v>FFDFD3C0</v>
      </c>
      <c r="D1684" t="s">
        <v>113</v>
      </c>
      <c r="E1684">
        <v>8</v>
      </c>
      <c r="H1684">
        <v>176</v>
      </c>
      <c r="I1684" t="s">
        <v>114</v>
      </c>
      <c r="J1684" t="s">
        <v>115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>"14:51:49.453"</f>
        <v>14:51:49.453</v>
      </c>
      <c r="T1684" t="str">
        <f>"14:51:48.953"</f>
        <v>14:51:48.953</v>
      </c>
      <c r="U1684" t="str">
        <f t="shared" si="84"/>
        <v>A0F928</v>
      </c>
      <c r="V1684">
        <v>0</v>
      </c>
      <c r="W1684">
        <v>0</v>
      </c>
      <c r="X1684">
        <v>2</v>
      </c>
      <c r="Z1684">
        <v>0</v>
      </c>
      <c r="AA1684">
        <v>9</v>
      </c>
      <c r="AB1684">
        <v>3</v>
      </c>
      <c r="AC1684">
        <v>0</v>
      </c>
      <c r="AD1684">
        <v>10</v>
      </c>
      <c r="AE1684">
        <v>0</v>
      </c>
      <c r="AF1684">
        <v>3</v>
      </c>
      <c r="AG1684">
        <v>2</v>
      </c>
      <c r="AH1684">
        <v>1</v>
      </c>
      <c r="AI1684" t="s">
        <v>908</v>
      </c>
      <c r="AJ1684">
        <v>35.825493000000002</v>
      </c>
      <c r="AK1684" t="s">
        <v>909</v>
      </c>
      <c r="AL1684">
        <v>-84.017880000000005</v>
      </c>
      <c r="AM1684">
        <v>25</v>
      </c>
      <c r="AN1684">
        <v>1650</v>
      </c>
      <c r="AO1684" t="s">
        <v>118</v>
      </c>
      <c r="AP1684">
        <v>92</v>
      </c>
      <c r="AQ1684">
        <v>98</v>
      </c>
      <c r="AR1684">
        <v>-128</v>
      </c>
      <c r="AZ1684">
        <v>300</v>
      </c>
      <c r="BA1684">
        <v>1</v>
      </c>
      <c r="BB1684" t="str">
        <f t="shared" si="83"/>
        <v xml:space="preserve">N162AM  </v>
      </c>
      <c r="BC1684">
        <v>1</v>
      </c>
      <c r="BE1684">
        <v>0</v>
      </c>
      <c r="BF1684">
        <v>0</v>
      </c>
      <c r="BG1684">
        <v>0</v>
      </c>
      <c r="BH1684">
        <v>1900</v>
      </c>
      <c r="BI1684">
        <v>1</v>
      </c>
      <c r="BJ1684">
        <v>1</v>
      </c>
      <c r="BK1684">
        <v>1</v>
      </c>
      <c r="BL1684">
        <v>0</v>
      </c>
      <c r="BO1684">
        <v>0</v>
      </c>
      <c r="BP1684">
        <v>0</v>
      </c>
      <c r="BW1684" t="str">
        <f>"14:51:49.456"</f>
        <v>14:51:49.456</v>
      </c>
      <c r="CJ1684">
        <v>3</v>
      </c>
      <c r="CK1684">
        <v>2</v>
      </c>
      <c r="CL1684">
        <v>0</v>
      </c>
      <c r="CM1684">
        <v>2</v>
      </c>
      <c r="CN1684">
        <v>0</v>
      </c>
      <c r="CO1684">
        <v>3</v>
      </c>
      <c r="CP1684" t="s">
        <v>119</v>
      </c>
      <c r="CQ1684">
        <v>216</v>
      </c>
      <c r="CR1684">
        <v>0</v>
      </c>
      <c r="CW1684">
        <v>1041377</v>
      </c>
      <c r="CY1684">
        <v>1</v>
      </c>
      <c r="CZ1684">
        <v>0</v>
      </c>
      <c r="DA1684">
        <v>1</v>
      </c>
      <c r="DB1684">
        <v>0</v>
      </c>
      <c r="DC1684">
        <v>0</v>
      </c>
      <c r="DD1684">
        <v>1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>"12/16/2021 14:51:49.679"</f>
        <v>12/16/2021 14:51:49.679</v>
      </c>
      <c r="C1685" t="str">
        <f t="shared" si="82"/>
        <v>FFDFD3C0</v>
      </c>
      <c r="D1685" t="s">
        <v>124</v>
      </c>
      <c r="E1685">
        <v>10</v>
      </c>
      <c r="F1685">
        <v>1010</v>
      </c>
      <c r="G1685" t="s">
        <v>130</v>
      </c>
      <c r="J1685" t="s">
        <v>125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>"14:51:49.453"</f>
        <v>14:51:49.453</v>
      </c>
      <c r="T1685" t="str">
        <f>"14:51:48.953"</f>
        <v>14:51:48.953</v>
      </c>
      <c r="U1685" t="str">
        <f t="shared" si="84"/>
        <v>A0F928</v>
      </c>
      <c r="V1685">
        <v>0</v>
      </c>
      <c r="W1685">
        <v>0</v>
      </c>
      <c r="X1685">
        <v>2</v>
      </c>
      <c r="Z1685">
        <v>0</v>
      </c>
      <c r="AA1685">
        <v>9</v>
      </c>
      <c r="AB1685">
        <v>3</v>
      </c>
      <c r="AC1685">
        <v>0</v>
      </c>
      <c r="AD1685">
        <v>10</v>
      </c>
      <c r="AE1685">
        <v>0</v>
      </c>
      <c r="AF1685">
        <v>3</v>
      </c>
      <c r="AG1685">
        <v>2</v>
      </c>
      <c r="AH1685">
        <v>1</v>
      </c>
      <c r="AI1685" t="s">
        <v>908</v>
      </c>
      <c r="AJ1685">
        <v>35.825493000000002</v>
      </c>
      <c r="AK1685" t="s">
        <v>909</v>
      </c>
      <c r="AL1685">
        <v>-84.017880000000005</v>
      </c>
      <c r="AM1685">
        <v>25</v>
      </c>
      <c r="AN1685">
        <v>1650</v>
      </c>
      <c r="AO1685" t="s">
        <v>118</v>
      </c>
      <c r="AP1685">
        <v>92</v>
      </c>
      <c r="AQ1685">
        <v>98</v>
      </c>
      <c r="AR1685">
        <v>-128</v>
      </c>
      <c r="AZ1685">
        <v>300</v>
      </c>
      <c r="BA1685">
        <v>1</v>
      </c>
      <c r="BB1685" t="str">
        <f t="shared" si="83"/>
        <v xml:space="preserve">N162AM  </v>
      </c>
      <c r="BC1685">
        <v>1</v>
      </c>
      <c r="BE1685">
        <v>0</v>
      </c>
      <c r="BF1685">
        <v>0</v>
      </c>
      <c r="BG1685">
        <v>0</v>
      </c>
      <c r="BH1685">
        <v>1900</v>
      </c>
      <c r="BI1685">
        <v>1</v>
      </c>
      <c r="BJ1685">
        <v>1</v>
      </c>
      <c r="BK1685">
        <v>1</v>
      </c>
      <c r="BL1685">
        <v>0</v>
      </c>
      <c r="BO1685">
        <v>0</v>
      </c>
      <c r="BP1685">
        <v>0</v>
      </c>
      <c r="BW1685" t="str">
        <f>"14:51:49.456"</f>
        <v>14:51:49.456</v>
      </c>
      <c r="CJ1685">
        <v>3</v>
      </c>
      <c r="CK1685">
        <v>2</v>
      </c>
      <c r="CL1685">
        <v>0</v>
      </c>
      <c r="CM1685">
        <v>2</v>
      </c>
      <c r="CN1685">
        <v>0</v>
      </c>
      <c r="CO1685">
        <v>3</v>
      </c>
      <c r="CP1685" t="s">
        <v>119</v>
      </c>
      <c r="CQ1685">
        <v>216</v>
      </c>
      <c r="CR1685">
        <v>0</v>
      </c>
      <c r="CW1685">
        <v>1041377</v>
      </c>
      <c r="CY1685">
        <v>1</v>
      </c>
      <c r="CZ1685">
        <v>0</v>
      </c>
      <c r="DA1685">
        <v>1</v>
      </c>
      <c r="DB1685">
        <v>0</v>
      </c>
      <c r="DC1685">
        <v>0</v>
      </c>
      <c r="DD1685">
        <v>1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>"12/16/2021 14:51:51.163"</f>
        <v>12/16/2021 14:51:51.163</v>
      </c>
      <c r="C1686" t="str">
        <f t="shared" si="82"/>
        <v>FFDFD3C0</v>
      </c>
      <c r="D1686" t="s">
        <v>133</v>
      </c>
      <c r="E1686">
        <v>44</v>
      </c>
      <c r="H1686">
        <v>131</v>
      </c>
      <c r="I1686" t="s">
        <v>134</v>
      </c>
      <c r="J1686" t="s">
        <v>135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"14:51:50.961"</f>
        <v>14:51:50.961</v>
      </c>
      <c r="T1686" t="str">
        <f>"14:51:50.461"</f>
        <v>14:51:50.461</v>
      </c>
      <c r="U1686" t="str">
        <f t="shared" si="84"/>
        <v>A0F928</v>
      </c>
      <c r="V1686">
        <v>0</v>
      </c>
      <c r="W1686">
        <v>0</v>
      </c>
      <c r="X1686">
        <v>2</v>
      </c>
      <c r="Z1686">
        <v>0</v>
      </c>
      <c r="AA1686">
        <v>9</v>
      </c>
      <c r="AB1686">
        <v>3</v>
      </c>
      <c r="AC1686">
        <v>0</v>
      </c>
      <c r="AD1686">
        <v>10</v>
      </c>
      <c r="AE1686">
        <v>0</v>
      </c>
      <c r="AF1686">
        <v>3</v>
      </c>
      <c r="AG1686">
        <v>2</v>
      </c>
      <c r="AH1686">
        <v>1</v>
      </c>
      <c r="AI1686" t="s">
        <v>910</v>
      </c>
      <c r="AJ1686">
        <v>35.826137000000003</v>
      </c>
      <c r="AK1686" t="s">
        <v>911</v>
      </c>
      <c r="AL1686">
        <v>-84.017086000000006</v>
      </c>
      <c r="AM1686">
        <v>25</v>
      </c>
      <c r="AN1686">
        <v>1650</v>
      </c>
      <c r="AO1686" t="s">
        <v>118</v>
      </c>
      <c r="AP1686">
        <v>91</v>
      </c>
      <c r="AQ1686">
        <v>99</v>
      </c>
      <c r="AR1686">
        <v>-128</v>
      </c>
      <c r="AZ1686">
        <v>300</v>
      </c>
      <c r="BA1686">
        <v>1</v>
      </c>
      <c r="BB1686" t="str">
        <f t="shared" si="83"/>
        <v xml:space="preserve">N162AM  </v>
      </c>
      <c r="BC1686">
        <v>1</v>
      </c>
      <c r="BE1686">
        <v>0</v>
      </c>
      <c r="BF1686">
        <v>0</v>
      </c>
      <c r="BG1686">
        <v>0</v>
      </c>
      <c r="BH1686">
        <v>1900</v>
      </c>
      <c r="BI1686">
        <v>1</v>
      </c>
      <c r="BJ1686">
        <v>1</v>
      </c>
      <c r="BK1686">
        <v>1</v>
      </c>
      <c r="BL1686">
        <v>0</v>
      </c>
      <c r="BO1686">
        <v>0</v>
      </c>
      <c r="BP1686">
        <v>0</v>
      </c>
      <c r="BW1686" t="str">
        <f>"14:51:50.969"</f>
        <v>14:51:50.969</v>
      </c>
      <c r="CJ1686">
        <v>3</v>
      </c>
      <c r="CK1686">
        <v>2</v>
      </c>
      <c r="CL1686">
        <v>0</v>
      </c>
      <c r="CM1686">
        <v>2</v>
      </c>
      <c r="CN1686">
        <v>0</v>
      </c>
      <c r="CO1686">
        <v>7</v>
      </c>
      <c r="CP1686" t="s">
        <v>119</v>
      </c>
      <c r="CQ1686">
        <v>232</v>
      </c>
      <c r="CR1686">
        <v>2</v>
      </c>
      <c r="CW1686">
        <v>6873214</v>
      </c>
      <c r="CY1686">
        <v>1</v>
      </c>
      <c r="CZ1686">
        <v>0</v>
      </c>
      <c r="DA1686">
        <v>0</v>
      </c>
      <c r="DB1686">
        <v>0</v>
      </c>
      <c r="DC1686">
        <v>0</v>
      </c>
      <c r="DD1686">
        <v>1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>"12/16/2021 14:51:51.179"</f>
        <v>12/16/2021 14:51:51.179</v>
      </c>
      <c r="C1687" t="str">
        <f t="shared" si="82"/>
        <v>FFDFD3C0</v>
      </c>
      <c r="D1687" t="s">
        <v>124</v>
      </c>
      <c r="E1687">
        <v>5</v>
      </c>
      <c r="F1687">
        <v>1005</v>
      </c>
      <c r="G1687" t="s">
        <v>114</v>
      </c>
      <c r="J1687" t="s">
        <v>125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>"14:51:50.961"</f>
        <v>14:51:50.961</v>
      </c>
      <c r="T1687" t="str">
        <f>"14:51:50.461"</f>
        <v>14:51:50.461</v>
      </c>
      <c r="U1687" t="str">
        <f t="shared" si="84"/>
        <v>A0F928</v>
      </c>
      <c r="V1687">
        <v>0</v>
      </c>
      <c r="W1687">
        <v>0</v>
      </c>
      <c r="X1687">
        <v>2</v>
      </c>
      <c r="Z1687">
        <v>0</v>
      </c>
      <c r="AA1687">
        <v>9</v>
      </c>
      <c r="AB1687">
        <v>3</v>
      </c>
      <c r="AC1687">
        <v>0</v>
      </c>
      <c r="AD1687">
        <v>10</v>
      </c>
      <c r="AE1687">
        <v>0</v>
      </c>
      <c r="AF1687">
        <v>3</v>
      </c>
      <c r="AG1687">
        <v>2</v>
      </c>
      <c r="AH1687">
        <v>1</v>
      </c>
      <c r="AI1687" t="s">
        <v>910</v>
      </c>
      <c r="AJ1687">
        <v>35.826137000000003</v>
      </c>
      <c r="AK1687" t="s">
        <v>911</v>
      </c>
      <c r="AL1687">
        <v>-84.017086000000006</v>
      </c>
      <c r="AM1687">
        <v>25</v>
      </c>
      <c r="AN1687">
        <v>1650</v>
      </c>
      <c r="AO1687" t="s">
        <v>118</v>
      </c>
      <c r="AP1687">
        <v>91</v>
      </c>
      <c r="AQ1687">
        <v>99</v>
      </c>
      <c r="AR1687">
        <v>-128</v>
      </c>
      <c r="AZ1687">
        <v>300</v>
      </c>
      <c r="BA1687">
        <v>1</v>
      </c>
      <c r="BB1687" t="str">
        <f t="shared" si="83"/>
        <v xml:space="preserve">N162AM  </v>
      </c>
      <c r="BC1687">
        <v>1</v>
      </c>
      <c r="BE1687">
        <v>0</v>
      </c>
      <c r="BF1687">
        <v>0</v>
      </c>
      <c r="BG1687">
        <v>0</v>
      </c>
      <c r="BH1687">
        <v>1900</v>
      </c>
      <c r="BI1687">
        <v>1</v>
      </c>
      <c r="BJ1687">
        <v>1</v>
      </c>
      <c r="BK1687">
        <v>1</v>
      </c>
      <c r="BL1687">
        <v>0</v>
      </c>
      <c r="BO1687">
        <v>0</v>
      </c>
      <c r="BP1687">
        <v>0</v>
      </c>
      <c r="BW1687" t="str">
        <f>"14:51:50.969"</f>
        <v>14:51:50.969</v>
      </c>
      <c r="CJ1687">
        <v>3</v>
      </c>
      <c r="CK1687">
        <v>2</v>
      </c>
      <c r="CL1687">
        <v>0</v>
      </c>
      <c r="CM1687">
        <v>2</v>
      </c>
      <c r="CN1687">
        <v>0</v>
      </c>
      <c r="CO1687">
        <v>7</v>
      </c>
      <c r="CP1687" t="s">
        <v>119</v>
      </c>
      <c r="CQ1687">
        <v>232</v>
      </c>
      <c r="CR1687">
        <v>2</v>
      </c>
      <c r="CW1687">
        <v>6873214</v>
      </c>
      <c r="CY1687">
        <v>1</v>
      </c>
      <c r="CZ1687">
        <v>0</v>
      </c>
      <c r="DA1687">
        <v>1</v>
      </c>
      <c r="DB1687">
        <v>0</v>
      </c>
      <c r="DC1687">
        <v>0</v>
      </c>
      <c r="DD1687">
        <v>1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>"12/16/2021 14:51:51.179"</f>
        <v>12/16/2021 14:51:51.179</v>
      </c>
      <c r="C1688" t="str">
        <f t="shared" si="82"/>
        <v>FFDFD3C0</v>
      </c>
      <c r="D1688" t="s">
        <v>124</v>
      </c>
      <c r="E1688">
        <v>10</v>
      </c>
      <c r="F1688">
        <v>1010</v>
      </c>
      <c r="G1688" t="s">
        <v>130</v>
      </c>
      <c r="J1688" t="s">
        <v>125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>"14:51:50.961"</f>
        <v>14:51:50.961</v>
      </c>
      <c r="T1688" t="str">
        <f>"14:51:50.461"</f>
        <v>14:51:50.461</v>
      </c>
      <c r="U1688" t="str">
        <f t="shared" si="84"/>
        <v>A0F928</v>
      </c>
      <c r="V1688">
        <v>0</v>
      </c>
      <c r="W1688">
        <v>0</v>
      </c>
      <c r="X1688">
        <v>2</v>
      </c>
      <c r="Z1688">
        <v>0</v>
      </c>
      <c r="AA1688">
        <v>9</v>
      </c>
      <c r="AB1688">
        <v>3</v>
      </c>
      <c r="AC1688">
        <v>0</v>
      </c>
      <c r="AD1688">
        <v>10</v>
      </c>
      <c r="AE1688">
        <v>0</v>
      </c>
      <c r="AF1688">
        <v>3</v>
      </c>
      <c r="AG1688">
        <v>2</v>
      </c>
      <c r="AH1688">
        <v>1</v>
      </c>
      <c r="AI1688" t="s">
        <v>910</v>
      </c>
      <c r="AJ1688">
        <v>35.826137000000003</v>
      </c>
      <c r="AK1688" t="s">
        <v>911</v>
      </c>
      <c r="AL1688">
        <v>-84.017086000000006</v>
      </c>
      <c r="AM1688">
        <v>25</v>
      </c>
      <c r="AN1688">
        <v>1650</v>
      </c>
      <c r="AO1688" t="s">
        <v>118</v>
      </c>
      <c r="AP1688">
        <v>91</v>
      </c>
      <c r="AQ1688">
        <v>99</v>
      </c>
      <c r="AR1688">
        <v>-128</v>
      </c>
      <c r="AZ1688">
        <v>300</v>
      </c>
      <c r="BA1688">
        <v>1</v>
      </c>
      <c r="BB1688" t="str">
        <f t="shared" si="83"/>
        <v xml:space="preserve">N162AM  </v>
      </c>
      <c r="BC1688">
        <v>1</v>
      </c>
      <c r="BE1688">
        <v>0</v>
      </c>
      <c r="BF1688">
        <v>0</v>
      </c>
      <c r="BG1688">
        <v>0</v>
      </c>
      <c r="BH1688">
        <v>1900</v>
      </c>
      <c r="BI1688">
        <v>1</v>
      </c>
      <c r="BJ1688">
        <v>1</v>
      </c>
      <c r="BK1688">
        <v>1</v>
      </c>
      <c r="BL1688">
        <v>0</v>
      </c>
      <c r="BO1688">
        <v>0</v>
      </c>
      <c r="BP1688">
        <v>0</v>
      </c>
      <c r="BW1688" t="str">
        <f>"14:51:50.969"</f>
        <v>14:51:50.969</v>
      </c>
      <c r="CJ1688">
        <v>3</v>
      </c>
      <c r="CK1688">
        <v>2</v>
      </c>
      <c r="CL1688">
        <v>0</v>
      </c>
      <c r="CM1688">
        <v>2</v>
      </c>
      <c r="CN1688">
        <v>0</v>
      </c>
      <c r="CO1688">
        <v>7</v>
      </c>
      <c r="CP1688" t="s">
        <v>119</v>
      </c>
      <c r="CQ1688">
        <v>232</v>
      </c>
      <c r="CR1688">
        <v>2</v>
      </c>
      <c r="CW1688">
        <v>6873214</v>
      </c>
      <c r="CY1688">
        <v>1</v>
      </c>
      <c r="CZ1688">
        <v>0</v>
      </c>
      <c r="DA1688">
        <v>1</v>
      </c>
      <c r="DB1688">
        <v>0</v>
      </c>
      <c r="DC1688">
        <v>0</v>
      </c>
      <c r="DD1688">
        <v>1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>"12/16/2021 14:51:51.179"</f>
        <v>12/16/2021 14:51:51.179</v>
      </c>
      <c r="C1689" t="str">
        <f t="shared" si="82"/>
        <v>FFDFD3C0</v>
      </c>
      <c r="D1689" t="s">
        <v>113</v>
      </c>
      <c r="E1689">
        <v>8</v>
      </c>
      <c r="H1689">
        <v>176</v>
      </c>
      <c r="I1689" t="s">
        <v>114</v>
      </c>
      <c r="J1689" t="s">
        <v>115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>"14:51:50.961"</f>
        <v>14:51:50.961</v>
      </c>
      <c r="T1689" t="str">
        <f>"14:51:50.461"</f>
        <v>14:51:50.461</v>
      </c>
      <c r="U1689" t="str">
        <f t="shared" si="84"/>
        <v>A0F928</v>
      </c>
      <c r="V1689">
        <v>0</v>
      </c>
      <c r="W1689">
        <v>0</v>
      </c>
      <c r="X1689">
        <v>2</v>
      </c>
      <c r="Z1689">
        <v>0</v>
      </c>
      <c r="AA1689">
        <v>9</v>
      </c>
      <c r="AB1689">
        <v>3</v>
      </c>
      <c r="AC1689">
        <v>0</v>
      </c>
      <c r="AD1689">
        <v>10</v>
      </c>
      <c r="AE1689">
        <v>0</v>
      </c>
      <c r="AF1689">
        <v>3</v>
      </c>
      <c r="AG1689">
        <v>2</v>
      </c>
      <c r="AH1689">
        <v>1</v>
      </c>
      <c r="AI1689" t="s">
        <v>910</v>
      </c>
      <c r="AJ1689">
        <v>35.826137000000003</v>
      </c>
      <c r="AK1689" t="s">
        <v>911</v>
      </c>
      <c r="AL1689">
        <v>-84.017086000000006</v>
      </c>
      <c r="AM1689">
        <v>25</v>
      </c>
      <c r="AN1689">
        <v>1650</v>
      </c>
      <c r="AO1689" t="s">
        <v>118</v>
      </c>
      <c r="AP1689">
        <v>91</v>
      </c>
      <c r="AQ1689">
        <v>99</v>
      </c>
      <c r="AR1689">
        <v>-128</v>
      </c>
      <c r="AZ1689">
        <v>300</v>
      </c>
      <c r="BA1689">
        <v>1</v>
      </c>
      <c r="BB1689" t="str">
        <f t="shared" si="83"/>
        <v xml:space="preserve">N162AM  </v>
      </c>
      <c r="BC1689">
        <v>1</v>
      </c>
      <c r="BE1689">
        <v>0</v>
      </c>
      <c r="BF1689">
        <v>0</v>
      </c>
      <c r="BG1689">
        <v>0</v>
      </c>
      <c r="BH1689">
        <v>1900</v>
      </c>
      <c r="BI1689">
        <v>1</v>
      </c>
      <c r="BJ1689">
        <v>1</v>
      </c>
      <c r="BK1689">
        <v>1</v>
      </c>
      <c r="BL1689">
        <v>0</v>
      </c>
      <c r="BO1689">
        <v>0</v>
      </c>
      <c r="BP1689">
        <v>0</v>
      </c>
      <c r="BW1689" t="str">
        <f>"14:51:50.969"</f>
        <v>14:51:50.969</v>
      </c>
      <c r="CJ1689">
        <v>3</v>
      </c>
      <c r="CK1689">
        <v>2</v>
      </c>
      <c r="CL1689">
        <v>0</v>
      </c>
      <c r="CM1689">
        <v>2</v>
      </c>
      <c r="CN1689">
        <v>0</v>
      </c>
      <c r="CO1689">
        <v>7</v>
      </c>
      <c r="CP1689" t="s">
        <v>119</v>
      </c>
      <c r="CQ1689">
        <v>232</v>
      </c>
      <c r="CR1689">
        <v>2</v>
      </c>
      <c r="CW1689">
        <v>6873214</v>
      </c>
      <c r="CY1689">
        <v>1</v>
      </c>
      <c r="CZ1689">
        <v>0</v>
      </c>
      <c r="DA1689">
        <v>1</v>
      </c>
      <c r="DB1689">
        <v>0</v>
      </c>
      <c r="DC1689">
        <v>0</v>
      </c>
      <c r="DD1689">
        <v>1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>"12/16/2021 14:51:52.241"</f>
        <v>12/16/2021 14:51:52.241</v>
      </c>
      <c r="C1690" t="str">
        <f t="shared" si="82"/>
        <v>FFDFD3C0</v>
      </c>
      <c r="D1690" t="s">
        <v>113</v>
      </c>
      <c r="E1690">
        <v>8</v>
      </c>
      <c r="H1690">
        <v>176</v>
      </c>
      <c r="I1690" t="s">
        <v>114</v>
      </c>
      <c r="J1690" t="s">
        <v>115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>"14:51:52.078"</f>
        <v>14:51:52.078</v>
      </c>
      <c r="T1690" t="str">
        <f>"14:51:51.578"</f>
        <v>14:51:51.578</v>
      </c>
      <c r="U1690" t="str">
        <f t="shared" si="84"/>
        <v>A0F928</v>
      </c>
      <c r="V1690">
        <v>0</v>
      </c>
      <c r="W1690">
        <v>0</v>
      </c>
      <c r="X1690">
        <v>2</v>
      </c>
      <c r="Z1690">
        <v>0</v>
      </c>
      <c r="AA1690">
        <v>9</v>
      </c>
      <c r="AB1690">
        <v>3</v>
      </c>
      <c r="AC1690">
        <v>0</v>
      </c>
      <c r="AD1690">
        <v>10</v>
      </c>
      <c r="AE1690">
        <v>0</v>
      </c>
      <c r="AF1690">
        <v>3</v>
      </c>
      <c r="AG1690">
        <v>2</v>
      </c>
      <c r="AH1690">
        <v>1</v>
      </c>
      <c r="AI1690" t="s">
        <v>912</v>
      </c>
      <c r="AJ1690">
        <v>35.826652000000003</v>
      </c>
      <c r="AK1690" t="s">
        <v>913</v>
      </c>
      <c r="AL1690">
        <v>-84.016549999999995</v>
      </c>
      <c r="AM1690">
        <v>25</v>
      </c>
      <c r="AN1690">
        <v>1650</v>
      </c>
      <c r="AO1690" t="s">
        <v>118</v>
      </c>
      <c r="AP1690">
        <v>90</v>
      </c>
      <c r="AQ1690">
        <v>100</v>
      </c>
      <c r="AR1690">
        <v>-192</v>
      </c>
      <c r="AZ1690">
        <v>300</v>
      </c>
      <c r="BA1690">
        <v>1</v>
      </c>
      <c r="BB1690" t="str">
        <f t="shared" si="83"/>
        <v xml:space="preserve">N162AM  </v>
      </c>
      <c r="BC1690">
        <v>1</v>
      </c>
      <c r="BE1690">
        <v>0</v>
      </c>
      <c r="BF1690">
        <v>0</v>
      </c>
      <c r="BG1690">
        <v>0</v>
      </c>
      <c r="BH1690">
        <v>1900</v>
      </c>
      <c r="BI1690">
        <v>1</v>
      </c>
      <c r="BJ1690">
        <v>1</v>
      </c>
      <c r="BK1690">
        <v>1</v>
      </c>
      <c r="BL1690">
        <v>0</v>
      </c>
      <c r="BO1690">
        <v>0</v>
      </c>
      <c r="BP1690">
        <v>0</v>
      </c>
      <c r="BW1690" t="str">
        <f>"14:51:52.079"</f>
        <v>14:51:52.079</v>
      </c>
      <c r="CJ1690">
        <v>3</v>
      </c>
      <c r="CK1690">
        <v>2</v>
      </c>
      <c r="CL1690">
        <v>0</v>
      </c>
      <c r="CM1690">
        <v>2</v>
      </c>
      <c r="CN1690">
        <v>0</v>
      </c>
      <c r="CO1690">
        <v>7</v>
      </c>
      <c r="CP1690" t="s">
        <v>119</v>
      </c>
      <c r="CQ1690">
        <v>232</v>
      </c>
      <c r="CR1690">
        <v>2</v>
      </c>
      <c r="CW1690">
        <v>6874942</v>
      </c>
      <c r="CY1690">
        <v>1</v>
      </c>
      <c r="CZ1690">
        <v>0</v>
      </c>
      <c r="DA1690">
        <v>0</v>
      </c>
      <c r="DB1690">
        <v>0</v>
      </c>
      <c r="DC1690">
        <v>0</v>
      </c>
      <c r="DD1690">
        <v>1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>"12/16/2021 14:51:52.304"</f>
        <v>12/16/2021 14:51:52.304</v>
      </c>
      <c r="C1691" t="str">
        <f t="shared" si="82"/>
        <v>FFDFD3C0</v>
      </c>
      <c r="D1691" t="s">
        <v>124</v>
      </c>
      <c r="E1691">
        <v>5</v>
      </c>
      <c r="F1691">
        <v>1005</v>
      </c>
      <c r="G1691" t="s">
        <v>114</v>
      </c>
      <c r="J1691" t="s">
        <v>125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"14:51:52.078"</f>
        <v>14:51:52.078</v>
      </c>
      <c r="T1691" t="str">
        <f>"14:51:51.578"</f>
        <v>14:51:51.578</v>
      </c>
      <c r="U1691" t="str">
        <f t="shared" si="84"/>
        <v>A0F928</v>
      </c>
      <c r="V1691">
        <v>0</v>
      </c>
      <c r="W1691">
        <v>0</v>
      </c>
      <c r="X1691">
        <v>2</v>
      </c>
      <c r="Z1691">
        <v>0</v>
      </c>
      <c r="AA1691">
        <v>9</v>
      </c>
      <c r="AB1691">
        <v>3</v>
      </c>
      <c r="AC1691">
        <v>0</v>
      </c>
      <c r="AD1691">
        <v>10</v>
      </c>
      <c r="AE1691">
        <v>0</v>
      </c>
      <c r="AF1691">
        <v>3</v>
      </c>
      <c r="AG1691">
        <v>2</v>
      </c>
      <c r="AH1691">
        <v>1</v>
      </c>
      <c r="AI1691" t="s">
        <v>912</v>
      </c>
      <c r="AJ1691">
        <v>35.826652000000003</v>
      </c>
      <c r="AK1691" t="s">
        <v>913</v>
      </c>
      <c r="AL1691">
        <v>-84.016549999999995</v>
      </c>
      <c r="AM1691">
        <v>25</v>
      </c>
      <c r="AN1691">
        <v>1650</v>
      </c>
      <c r="AO1691" t="s">
        <v>118</v>
      </c>
      <c r="AP1691">
        <v>90</v>
      </c>
      <c r="AQ1691">
        <v>100</v>
      </c>
      <c r="AR1691">
        <v>-192</v>
      </c>
      <c r="AZ1691">
        <v>300</v>
      </c>
      <c r="BA1691">
        <v>1</v>
      </c>
      <c r="BB1691" t="str">
        <f t="shared" si="83"/>
        <v xml:space="preserve">N162AM  </v>
      </c>
      <c r="BC1691">
        <v>1</v>
      </c>
      <c r="BE1691">
        <v>0</v>
      </c>
      <c r="BF1691">
        <v>0</v>
      </c>
      <c r="BG1691">
        <v>0</v>
      </c>
      <c r="BH1691">
        <v>1900</v>
      </c>
      <c r="BI1691">
        <v>1</v>
      </c>
      <c r="BJ1691">
        <v>1</v>
      </c>
      <c r="BK1691">
        <v>1</v>
      </c>
      <c r="BL1691">
        <v>0</v>
      </c>
      <c r="BO1691">
        <v>0</v>
      </c>
      <c r="BP1691">
        <v>0</v>
      </c>
      <c r="BW1691" t="str">
        <f>"14:51:52.079"</f>
        <v>14:51:52.079</v>
      </c>
      <c r="CJ1691">
        <v>3</v>
      </c>
      <c r="CK1691">
        <v>2</v>
      </c>
      <c r="CL1691">
        <v>0</v>
      </c>
      <c r="CM1691">
        <v>2</v>
      </c>
      <c r="CN1691">
        <v>0</v>
      </c>
      <c r="CO1691">
        <v>7</v>
      </c>
      <c r="CP1691" t="s">
        <v>119</v>
      </c>
      <c r="CQ1691">
        <v>232</v>
      </c>
      <c r="CR1691">
        <v>2</v>
      </c>
      <c r="CW1691">
        <v>6874942</v>
      </c>
      <c r="CY1691">
        <v>1</v>
      </c>
      <c r="CZ1691">
        <v>0</v>
      </c>
      <c r="DA1691">
        <v>1</v>
      </c>
      <c r="DB1691">
        <v>0</v>
      </c>
      <c r="DC1691">
        <v>0</v>
      </c>
      <c r="DD1691">
        <v>1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>"12/16/2021 14:51:52.304"</f>
        <v>12/16/2021 14:51:52.304</v>
      </c>
      <c r="C1692" t="str">
        <f t="shared" si="82"/>
        <v>FFDFD3C0</v>
      </c>
      <c r="D1692" t="s">
        <v>124</v>
      </c>
      <c r="E1692">
        <v>10</v>
      </c>
      <c r="F1692">
        <v>1010</v>
      </c>
      <c r="G1692" t="s">
        <v>130</v>
      </c>
      <c r="J1692" t="s">
        <v>125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>"14:51:52.078"</f>
        <v>14:51:52.078</v>
      </c>
      <c r="T1692" t="str">
        <f>"14:51:51.578"</f>
        <v>14:51:51.578</v>
      </c>
      <c r="U1692" t="str">
        <f t="shared" si="84"/>
        <v>A0F928</v>
      </c>
      <c r="V1692">
        <v>0</v>
      </c>
      <c r="W1692">
        <v>0</v>
      </c>
      <c r="X1692">
        <v>2</v>
      </c>
      <c r="Z1692">
        <v>0</v>
      </c>
      <c r="AA1692">
        <v>9</v>
      </c>
      <c r="AB1692">
        <v>3</v>
      </c>
      <c r="AC1692">
        <v>0</v>
      </c>
      <c r="AD1692">
        <v>10</v>
      </c>
      <c r="AE1692">
        <v>0</v>
      </c>
      <c r="AF1692">
        <v>3</v>
      </c>
      <c r="AG1692">
        <v>2</v>
      </c>
      <c r="AH1692">
        <v>1</v>
      </c>
      <c r="AI1692" t="s">
        <v>912</v>
      </c>
      <c r="AJ1692">
        <v>35.826652000000003</v>
      </c>
      <c r="AK1692" t="s">
        <v>913</v>
      </c>
      <c r="AL1692">
        <v>-84.016549999999995</v>
      </c>
      <c r="AM1692">
        <v>25</v>
      </c>
      <c r="AN1692">
        <v>1650</v>
      </c>
      <c r="AO1692" t="s">
        <v>118</v>
      </c>
      <c r="AP1692">
        <v>90</v>
      </c>
      <c r="AQ1692">
        <v>100</v>
      </c>
      <c r="AR1692">
        <v>-192</v>
      </c>
      <c r="AZ1692">
        <v>300</v>
      </c>
      <c r="BA1692">
        <v>1</v>
      </c>
      <c r="BB1692" t="str">
        <f t="shared" si="83"/>
        <v xml:space="preserve">N162AM  </v>
      </c>
      <c r="BC1692">
        <v>1</v>
      </c>
      <c r="BE1692">
        <v>0</v>
      </c>
      <c r="BF1692">
        <v>0</v>
      </c>
      <c r="BG1692">
        <v>0</v>
      </c>
      <c r="BH1692">
        <v>1900</v>
      </c>
      <c r="BI1692">
        <v>1</v>
      </c>
      <c r="BJ1692">
        <v>1</v>
      </c>
      <c r="BK1692">
        <v>1</v>
      </c>
      <c r="BL1692">
        <v>0</v>
      </c>
      <c r="BO1692">
        <v>0</v>
      </c>
      <c r="BP1692">
        <v>0</v>
      </c>
      <c r="BW1692" t="str">
        <f>"14:51:52.079"</f>
        <v>14:51:52.079</v>
      </c>
      <c r="CJ1692">
        <v>3</v>
      </c>
      <c r="CK1692">
        <v>2</v>
      </c>
      <c r="CL1692">
        <v>0</v>
      </c>
      <c r="CM1692">
        <v>2</v>
      </c>
      <c r="CN1692">
        <v>0</v>
      </c>
      <c r="CO1692">
        <v>7</v>
      </c>
      <c r="CP1692" t="s">
        <v>119</v>
      </c>
      <c r="CQ1692">
        <v>232</v>
      </c>
      <c r="CR1692">
        <v>2</v>
      </c>
      <c r="CW1692">
        <v>6874942</v>
      </c>
      <c r="CY1692">
        <v>1</v>
      </c>
      <c r="CZ1692">
        <v>0</v>
      </c>
      <c r="DA1692">
        <v>1</v>
      </c>
      <c r="DB1692">
        <v>0</v>
      </c>
      <c r="DC1692">
        <v>0</v>
      </c>
      <c r="DD1692">
        <v>1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>"12/16/2021 14:51:52.304"</f>
        <v>12/16/2021 14:51:52.304</v>
      </c>
      <c r="C1693" t="str">
        <f t="shared" si="82"/>
        <v>FFDFD3C0</v>
      </c>
      <c r="D1693" t="s">
        <v>133</v>
      </c>
      <c r="E1693">
        <v>44</v>
      </c>
      <c r="H1693">
        <v>131</v>
      </c>
      <c r="I1693" t="s">
        <v>134</v>
      </c>
      <c r="J1693" t="s">
        <v>135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"14:51:52.078"</f>
        <v>14:51:52.078</v>
      </c>
      <c r="T1693" t="str">
        <f>"14:51:51.578"</f>
        <v>14:51:51.578</v>
      </c>
      <c r="U1693" t="str">
        <f t="shared" si="84"/>
        <v>A0F928</v>
      </c>
      <c r="V1693">
        <v>0</v>
      </c>
      <c r="W1693">
        <v>0</v>
      </c>
      <c r="X1693">
        <v>2</v>
      </c>
      <c r="Z1693">
        <v>0</v>
      </c>
      <c r="AA1693">
        <v>9</v>
      </c>
      <c r="AB1693">
        <v>3</v>
      </c>
      <c r="AC1693">
        <v>0</v>
      </c>
      <c r="AD1693">
        <v>10</v>
      </c>
      <c r="AE1693">
        <v>0</v>
      </c>
      <c r="AF1693">
        <v>3</v>
      </c>
      <c r="AG1693">
        <v>2</v>
      </c>
      <c r="AH1693">
        <v>1</v>
      </c>
      <c r="AI1693" t="s">
        <v>912</v>
      </c>
      <c r="AJ1693">
        <v>35.826652000000003</v>
      </c>
      <c r="AK1693" t="s">
        <v>913</v>
      </c>
      <c r="AL1693">
        <v>-84.016549999999995</v>
      </c>
      <c r="AM1693">
        <v>25</v>
      </c>
      <c r="AN1693">
        <v>1650</v>
      </c>
      <c r="AO1693" t="s">
        <v>118</v>
      </c>
      <c r="AP1693">
        <v>90</v>
      </c>
      <c r="AQ1693">
        <v>100</v>
      </c>
      <c r="AR1693">
        <v>-192</v>
      </c>
      <c r="AZ1693">
        <v>300</v>
      </c>
      <c r="BA1693">
        <v>1</v>
      </c>
      <c r="BB1693" t="str">
        <f t="shared" si="83"/>
        <v xml:space="preserve">N162AM  </v>
      </c>
      <c r="BC1693">
        <v>1</v>
      </c>
      <c r="BE1693">
        <v>0</v>
      </c>
      <c r="BF1693">
        <v>0</v>
      </c>
      <c r="BG1693">
        <v>0</v>
      </c>
      <c r="BH1693">
        <v>1900</v>
      </c>
      <c r="BI1693">
        <v>1</v>
      </c>
      <c r="BJ1693">
        <v>1</v>
      </c>
      <c r="BK1693">
        <v>1</v>
      </c>
      <c r="BL1693">
        <v>0</v>
      </c>
      <c r="BO1693">
        <v>0</v>
      </c>
      <c r="BP1693">
        <v>0</v>
      </c>
      <c r="BW1693" t="str">
        <f>"14:51:52.079"</f>
        <v>14:51:52.079</v>
      </c>
      <c r="CJ1693">
        <v>3</v>
      </c>
      <c r="CK1693">
        <v>2</v>
      </c>
      <c r="CL1693">
        <v>0</v>
      </c>
      <c r="CM1693">
        <v>2</v>
      </c>
      <c r="CN1693">
        <v>0</v>
      </c>
      <c r="CO1693">
        <v>7</v>
      </c>
      <c r="CP1693" t="s">
        <v>119</v>
      </c>
      <c r="CQ1693">
        <v>232</v>
      </c>
      <c r="CR1693">
        <v>2</v>
      </c>
      <c r="CW1693">
        <v>6874942</v>
      </c>
      <c r="CY1693">
        <v>1</v>
      </c>
      <c r="CZ1693">
        <v>0</v>
      </c>
      <c r="DA1693">
        <v>1</v>
      </c>
      <c r="DB1693">
        <v>0</v>
      </c>
      <c r="DC1693">
        <v>0</v>
      </c>
      <c r="DD1693">
        <v>1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>"12/16/2021 14:51:53.179"</f>
        <v>12/16/2021 14:51:53.179</v>
      </c>
      <c r="C1694" t="str">
        <f t="shared" si="82"/>
        <v>FFDFD3C0</v>
      </c>
      <c r="D1694" t="s">
        <v>124</v>
      </c>
      <c r="E1694">
        <v>5</v>
      </c>
      <c r="F1694">
        <v>1005</v>
      </c>
      <c r="G1694" t="s">
        <v>114</v>
      </c>
      <c r="J1694" t="s">
        <v>125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>"14:51:52.969"</f>
        <v>14:51:52.969</v>
      </c>
      <c r="T1694" t="str">
        <f>"14:51:52.569"</f>
        <v>14:51:52.569</v>
      </c>
      <c r="U1694" t="str">
        <f t="shared" si="84"/>
        <v>A0F928</v>
      </c>
      <c r="V1694">
        <v>0</v>
      </c>
      <c r="W1694">
        <v>0</v>
      </c>
      <c r="X1694">
        <v>2</v>
      </c>
      <c r="Z1694">
        <v>0</v>
      </c>
      <c r="AA1694">
        <v>9</v>
      </c>
      <c r="AB1694">
        <v>3</v>
      </c>
      <c r="AC1694">
        <v>0</v>
      </c>
      <c r="AD1694">
        <v>10</v>
      </c>
      <c r="AE1694">
        <v>0</v>
      </c>
      <c r="AF1694">
        <v>3</v>
      </c>
      <c r="AG1694">
        <v>2</v>
      </c>
      <c r="AH1694">
        <v>1</v>
      </c>
      <c r="AI1694" t="s">
        <v>914</v>
      </c>
      <c r="AJ1694">
        <v>35.827103000000001</v>
      </c>
      <c r="AK1694" t="s">
        <v>723</v>
      </c>
      <c r="AL1694">
        <v>-84.016120000000001</v>
      </c>
      <c r="AM1694">
        <v>25</v>
      </c>
      <c r="AN1694">
        <v>1650</v>
      </c>
      <c r="AO1694" t="s">
        <v>118</v>
      </c>
      <c r="AP1694">
        <v>89</v>
      </c>
      <c r="AQ1694">
        <v>100</v>
      </c>
      <c r="AR1694">
        <v>-256</v>
      </c>
      <c r="AZ1694">
        <v>300</v>
      </c>
      <c r="BA1694">
        <v>1</v>
      </c>
      <c r="BB1694" t="str">
        <f t="shared" si="83"/>
        <v xml:space="preserve">N162AM  </v>
      </c>
      <c r="BC1694">
        <v>1</v>
      </c>
      <c r="BE1694">
        <v>0</v>
      </c>
      <c r="BF1694">
        <v>0</v>
      </c>
      <c r="BG1694">
        <v>0</v>
      </c>
      <c r="BH1694">
        <v>1900</v>
      </c>
      <c r="BI1694">
        <v>1</v>
      </c>
      <c r="BJ1694">
        <v>1</v>
      </c>
      <c r="BK1694">
        <v>1</v>
      </c>
      <c r="BL1694">
        <v>0</v>
      </c>
      <c r="BO1694">
        <v>0</v>
      </c>
      <c r="BP1694">
        <v>0</v>
      </c>
      <c r="BW1694" t="str">
        <f>"14:51:52.969"</f>
        <v>14:51:52.969</v>
      </c>
      <c r="CJ1694">
        <v>3</v>
      </c>
      <c r="CK1694">
        <v>2</v>
      </c>
      <c r="CL1694">
        <v>0</v>
      </c>
      <c r="CM1694">
        <v>2</v>
      </c>
      <c r="CN1694">
        <v>0</v>
      </c>
      <c r="CO1694">
        <v>2</v>
      </c>
      <c r="CP1694" t="s">
        <v>119</v>
      </c>
      <c r="CQ1694">
        <v>216</v>
      </c>
      <c r="CR1694">
        <v>0</v>
      </c>
      <c r="CW1694">
        <v>1046234</v>
      </c>
      <c r="CY1694">
        <v>1</v>
      </c>
      <c r="CZ1694">
        <v>0</v>
      </c>
      <c r="DA1694">
        <v>0</v>
      </c>
      <c r="DB1694">
        <v>0</v>
      </c>
      <c r="DC1694">
        <v>0</v>
      </c>
      <c r="DD1694">
        <v>1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>"12/16/2021 14:51:53.210"</f>
        <v>12/16/2021 14:51:53.210</v>
      </c>
      <c r="C1695" t="str">
        <f t="shared" si="82"/>
        <v>FFDFD3C0</v>
      </c>
      <c r="D1695" t="s">
        <v>133</v>
      </c>
      <c r="E1695">
        <v>44</v>
      </c>
      <c r="H1695">
        <v>131</v>
      </c>
      <c r="I1695" t="s">
        <v>134</v>
      </c>
      <c r="J1695" t="s">
        <v>135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>"14:51:52.969"</f>
        <v>14:51:52.969</v>
      </c>
      <c r="T1695" t="str">
        <f>"14:51:52.569"</f>
        <v>14:51:52.569</v>
      </c>
      <c r="U1695" t="str">
        <f t="shared" si="84"/>
        <v>A0F928</v>
      </c>
      <c r="V1695">
        <v>0</v>
      </c>
      <c r="W1695">
        <v>0</v>
      </c>
      <c r="X1695">
        <v>2</v>
      </c>
      <c r="Z1695">
        <v>0</v>
      </c>
      <c r="AA1695">
        <v>9</v>
      </c>
      <c r="AB1695">
        <v>3</v>
      </c>
      <c r="AC1695">
        <v>0</v>
      </c>
      <c r="AD1695">
        <v>10</v>
      </c>
      <c r="AE1695">
        <v>0</v>
      </c>
      <c r="AF1695">
        <v>3</v>
      </c>
      <c r="AG1695">
        <v>2</v>
      </c>
      <c r="AH1695">
        <v>1</v>
      </c>
      <c r="AI1695" t="s">
        <v>914</v>
      </c>
      <c r="AJ1695">
        <v>35.827103000000001</v>
      </c>
      <c r="AK1695" t="s">
        <v>723</v>
      </c>
      <c r="AL1695">
        <v>-84.016120000000001</v>
      </c>
      <c r="AM1695">
        <v>25</v>
      </c>
      <c r="AN1695">
        <v>1650</v>
      </c>
      <c r="AO1695" t="s">
        <v>118</v>
      </c>
      <c r="AP1695">
        <v>89</v>
      </c>
      <c r="AQ1695">
        <v>100</v>
      </c>
      <c r="AR1695">
        <v>-256</v>
      </c>
      <c r="AZ1695">
        <v>300</v>
      </c>
      <c r="BA1695">
        <v>1</v>
      </c>
      <c r="BB1695" t="str">
        <f t="shared" si="83"/>
        <v xml:space="preserve">N162AM  </v>
      </c>
      <c r="BC1695">
        <v>1</v>
      </c>
      <c r="BE1695">
        <v>0</v>
      </c>
      <c r="BF1695">
        <v>0</v>
      </c>
      <c r="BG1695">
        <v>0</v>
      </c>
      <c r="BH1695">
        <v>1900</v>
      </c>
      <c r="BI1695">
        <v>1</v>
      </c>
      <c r="BJ1695">
        <v>1</v>
      </c>
      <c r="BK1695">
        <v>1</v>
      </c>
      <c r="BL1695">
        <v>0</v>
      </c>
      <c r="BO1695">
        <v>0</v>
      </c>
      <c r="BP1695">
        <v>0</v>
      </c>
      <c r="BW1695" t="str">
        <f>"14:51:52.969"</f>
        <v>14:51:52.969</v>
      </c>
      <c r="CJ1695">
        <v>3</v>
      </c>
      <c r="CK1695">
        <v>2</v>
      </c>
      <c r="CL1695">
        <v>0</v>
      </c>
      <c r="CM1695">
        <v>2</v>
      </c>
      <c r="CN1695">
        <v>0</v>
      </c>
      <c r="CO1695">
        <v>2</v>
      </c>
      <c r="CP1695" t="s">
        <v>119</v>
      </c>
      <c r="CQ1695">
        <v>216</v>
      </c>
      <c r="CR1695">
        <v>0</v>
      </c>
      <c r="CW1695">
        <v>1046234</v>
      </c>
      <c r="CY1695">
        <v>1</v>
      </c>
      <c r="CZ1695">
        <v>0</v>
      </c>
      <c r="DA1695">
        <v>1</v>
      </c>
      <c r="DB1695">
        <v>0</v>
      </c>
      <c r="DC1695">
        <v>0</v>
      </c>
      <c r="DD1695">
        <v>1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>"12/16/2021 14:51:53.210"</f>
        <v>12/16/2021 14:51:53.210</v>
      </c>
      <c r="C1696" t="str">
        <f t="shared" si="82"/>
        <v>FFDFD3C0</v>
      </c>
      <c r="D1696" t="s">
        <v>124</v>
      </c>
      <c r="E1696">
        <v>10</v>
      </c>
      <c r="F1696">
        <v>1010</v>
      </c>
      <c r="G1696" t="s">
        <v>130</v>
      </c>
      <c r="J1696" t="s">
        <v>125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>"14:51:52.969"</f>
        <v>14:51:52.969</v>
      </c>
      <c r="T1696" t="str">
        <f>"14:51:52.569"</f>
        <v>14:51:52.569</v>
      </c>
      <c r="U1696" t="str">
        <f t="shared" si="84"/>
        <v>A0F928</v>
      </c>
      <c r="V1696">
        <v>0</v>
      </c>
      <c r="W1696">
        <v>0</v>
      </c>
      <c r="X1696">
        <v>2</v>
      </c>
      <c r="Z1696">
        <v>0</v>
      </c>
      <c r="AA1696">
        <v>9</v>
      </c>
      <c r="AB1696">
        <v>3</v>
      </c>
      <c r="AC1696">
        <v>0</v>
      </c>
      <c r="AD1696">
        <v>10</v>
      </c>
      <c r="AE1696">
        <v>0</v>
      </c>
      <c r="AF1696">
        <v>3</v>
      </c>
      <c r="AG1696">
        <v>2</v>
      </c>
      <c r="AH1696">
        <v>1</v>
      </c>
      <c r="AI1696" t="s">
        <v>914</v>
      </c>
      <c r="AJ1696">
        <v>35.827103000000001</v>
      </c>
      <c r="AK1696" t="s">
        <v>723</v>
      </c>
      <c r="AL1696">
        <v>-84.016120000000001</v>
      </c>
      <c r="AM1696">
        <v>25</v>
      </c>
      <c r="AN1696">
        <v>1650</v>
      </c>
      <c r="AO1696" t="s">
        <v>118</v>
      </c>
      <c r="AP1696">
        <v>89</v>
      </c>
      <c r="AQ1696">
        <v>100</v>
      </c>
      <c r="AR1696">
        <v>-256</v>
      </c>
      <c r="AZ1696">
        <v>300</v>
      </c>
      <c r="BA1696">
        <v>1</v>
      </c>
      <c r="BB1696" t="str">
        <f t="shared" si="83"/>
        <v xml:space="preserve">N162AM  </v>
      </c>
      <c r="BC1696">
        <v>1</v>
      </c>
      <c r="BE1696">
        <v>0</v>
      </c>
      <c r="BF1696">
        <v>0</v>
      </c>
      <c r="BG1696">
        <v>0</v>
      </c>
      <c r="BH1696">
        <v>1900</v>
      </c>
      <c r="BI1696">
        <v>1</v>
      </c>
      <c r="BJ1696">
        <v>1</v>
      </c>
      <c r="BK1696">
        <v>1</v>
      </c>
      <c r="BL1696">
        <v>0</v>
      </c>
      <c r="BO1696">
        <v>0</v>
      </c>
      <c r="BP1696">
        <v>0</v>
      </c>
      <c r="BW1696" t="str">
        <f>"14:51:52.969"</f>
        <v>14:51:52.969</v>
      </c>
      <c r="CJ1696">
        <v>3</v>
      </c>
      <c r="CK1696">
        <v>2</v>
      </c>
      <c r="CL1696">
        <v>0</v>
      </c>
      <c r="CM1696">
        <v>2</v>
      </c>
      <c r="CN1696">
        <v>0</v>
      </c>
      <c r="CO1696">
        <v>2</v>
      </c>
      <c r="CP1696" t="s">
        <v>119</v>
      </c>
      <c r="CQ1696">
        <v>216</v>
      </c>
      <c r="CR1696">
        <v>0</v>
      </c>
      <c r="CW1696">
        <v>1046234</v>
      </c>
      <c r="CY1696">
        <v>1</v>
      </c>
      <c r="CZ1696">
        <v>0</v>
      </c>
      <c r="DA1696">
        <v>1</v>
      </c>
      <c r="DB1696">
        <v>0</v>
      </c>
      <c r="DC1696">
        <v>0</v>
      </c>
      <c r="DD1696">
        <v>1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>"12/16/2021 14:51:53.226"</f>
        <v>12/16/2021 14:51:53.226</v>
      </c>
      <c r="C1697" t="str">
        <f t="shared" si="82"/>
        <v>FFDFD3C0</v>
      </c>
      <c r="D1697" t="s">
        <v>113</v>
      </c>
      <c r="E1697">
        <v>8</v>
      </c>
      <c r="H1697">
        <v>176</v>
      </c>
      <c r="I1697" t="s">
        <v>114</v>
      </c>
      <c r="J1697" t="s">
        <v>115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>"14:51:52.969"</f>
        <v>14:51:52.969</v>
      </c>
      <c r="T1697" t="str">
        <f>"14:51:52.569"</f>
        <v>14:51:52.569</v>
      </c>
      <c r="U1697" t="str">
        <f t="shared" si="84"/>
        <v>A0F928</v>
      </c>
      <c r="V1697">
        <v>0</v>
      </c>
      <c r="W1697">
        <v>0</v>
      </c>
      <c r="X1697">
        <v>2</v>
      </c>
      <c r="Z1697">
        <v>0</v>
      </c>
      <c r="AA1697">
        <v>9</v>
      </c>
      <c r="AB1697">
        <v>3</v>
      </c>
      <c r="AC1697">
        <v>0</v>
      </c>
      <c r="AD1697">
        <v>10</v>
      </c>
      <c r="AE1697">
        <v>0</v>
      </c>
      <c r="AF1697">
        <v>3</v>
      </c>
      <c r="AG1697">
        <v>2</v>
      </c>
      <c r="AH1697">
        <v>1</v>
      </c>
      <c r="AI1697" t="s">
        <v>914</v>
      </c>
      <c r="AJ1697">
        <v>35.827103000000001</v>
      </c>
      <c r="AK1697" t="s">
        <v>723</v>
      </c>
      <c r="AL1697">
        <v>-84.016120000000001</v>
      </c>
      <c r="AM1697">
        <v>25</v>
      </c>
      <c r="AN1697">
        <v>1650</v>
      </c>
      <c r="AO1697" t="s">
        <v>118</v>
      </c>
      <c r="AP1697">
        <v>89</v>
      </c>
      <c r="AQ1697">
        <v>100</v>
      </c>
      <c r="AR1697">
        <v>-256</v>
      </c>
      <c r="AZ1697">
        <v>300</v>
      </c>
      <c r="BA1697">
        <v>1</v>
      </c>
      <c r="BB1697" t="str">
        <f t="shared" si="83"/>
        <v xml:space="preserve">N162AM  </v>
      </c>
      <c r="BC1697">
        <v>1</v>
      </c>
      <c r="BE1697">
        <v>0</v>
      </c>
      <c r="BF1697">
        <v>0</v>
      </c>
      <c r="BG1697">
        <v>0</v>
      </c>
      <c r="BH1697">
        <v>1900</v>
      </c>
      <c r="BI1697">
        <v>1</v>
      </c>
      <c r="BJ1697">
        <v>1</v>
      </c>
      <c r="BK1697">
        <v>1</v>
      </c>
      <c r="BL1697">
        <v>0</v>
      </c>
      <c r="BO1697">
        <v>0</v>
      </c>
      <c r="BP1697">
        <v>0</v>
      </c>
      <c r="BW1697" t="str">
        <f>"14:51:52.969"</f>
        <v>14:51:52.969</v>
      </c>
      <c r="CJ1697">
        <v>3</v>
      </c>
      <c r="CK1697">
        <v>2</v>
      </c>
      <c r="CL1697">
        <v>0</v>
      </c>
      <c r="CM1697">
        <v>2</v>
      </c>
      <c r="CN1697">
        <v>0</v>
      </c>
      <c r="CO1697">
        <v>2</v>
      </c>
      <c r="CP1697" t="s">
        <v>119</v>
      </c>
      <c r="CQ1697">
        <v>216</v>
      </c>
      <c r="CR1697">
        <v>0</v>
      </c>
      <c r="CW1697">
        <v>1046234</v>
      </c>
      <c r="CY1697">
        <v>1</v>
      </c>
      <c r="CZ1697">
        <v>0</v>
      </c>
      <c r="DA1697">
        <v>1</v>
      </c>
      <c r="DB1697">
        <v>0</v>
      </c>
      <c r="DC1697">
        <v>0</v>
      </c>
      <c r="DD1697">
        <v>1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>"12/16/2021 14:51:54.820"</f>
        <v>12/16/2021 14:51:54.820</v>
      </c>
      <c r="C1698" t="str">
        <f t="shared" si="82"/>
        <v>FFDFD3C0</v>
      </c>
      <c r="D1698" t="s">
        <v>124</v>
      </c>
      <c r="E1698">
        <v>5</v>
      </c>
      <c r="F1698">
        <v>1005</v>
      </c>
      <c r="G1698" t="s">
        <v>114</v>
      </c>
      <c r="J1698" t="s">
        <v>125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>"14:51:54.586"</f>
        <v>14:51:54.586</v>
      </c>
      <c r="T1698" t="str">
        <f>"14:51:54.086"</f>
        <v>14:51:54.086</v>
      </c>
      <c r="U1698" t="str">
        <f t="shared" si="84"/>
        <v>A0F928</v>
      </c>
      <c r="V1698">
        <v>0</v>
      </c>
      <c r="W1698">
        <v>0</v>
      </c>
      <c r="X1698">
        <v>2</v>
      </c>
      <c r="Z1698">
        <v>0</v>
      </c>
      <c r="AA1698">
        <v>9</v>
      </c>
      <c r="AB1698">
        <v>3</v>
      </c>
      <c r="AC1698">
        <v>0</v>
      </c>
      <c r="AD1698">
        <v>10</v>
      </c>
      <c r="AE1698">
        <v>0</v>
      </c>
      <c r="AF1698">
        <v>3</v>
      </c>
      <c r="AG1698">
        <v>2</v>
      </c>
      <c r="AH1698">
        <v>1</v>
      </c>
      <c r="AI1698" t="s">
        <v>915</v>
      </c>
      <c r="AJ1698">
        <v>35.827832000000001</v>
      </c>
      <c r="AK1698" t="s">
        <v>916</v>
      </c>
      <c r="AL1698">
        <v>-84.015262000000007</v>
      </c>
      <c r="AM1698">
        <v>25</v>
      </c>
      <c r="AN1698">
        <v>1650</v>
      </c>
      <c r="AO1698" t="s">
        <v>118</v>
      </c>
      <c r="AP1698">
        <v>89</v>
      </c>
      <c r="AQ1698">
        <v>100</v>
      </c>
      <c r="AR1698">
        <v>-256</v>
      </c>
      <c r="AZ1698">
        <v>300</v>
      </c>
      <c r="BA1698">
        <v>1</v>
      </c>
      <c r="BB1698" t="str">
        <f t="shared" si="83"/>
        <v xml:space="preserve">N162AM  </v>
      </c>
      <c r="BC1698">
        <v>1</v>
      </c>
      <c r="BE1698">
        <v>0</v>
      </c>
      <c r="BF1698">
        <v>0</v>
      </c>
      <c r="BG1698">
        <v>0</v>
      </c>
      <c r="BH1698">
        <v>1900</v>
      </c>
      <c r="BI1698">
        <v>1</v>
      </c>
      <c r="BJ1698">
        <v>1</v>
      </c>
      <c r="BK1698">
        <v>1</v>
      </c>
      <c r="BL1698">
        <v>0</v>
      </c>
      <c r="BO1698">
        <v>0</v>
      </c>
      <c r="BP1698">
        <v>0</v>
      </c>
      <c r="BW1698" t="str">
        <f>"14:51:54.588"</f>
        <v>14:51:54.588</v>
      </c>
      <c r="CJ1698">
        <v>3</v>
      </c>
      <c r="CK1698">
        <v>2</v>
      </c>
      <c r="CL1698">
        <v>0</v>
      </c>
      <c r="CM1698">
        <v>2</v>
      </c>
      <c r="CN1698">
        <v>0</v>
      </c>
      <c r="CO1698">
        <v>7</v>
      </c>
      <c r="CP1698" t="s">
        <v>119</v>
      </c>
      <c r="CQ1698">
        <v>232</v>
      </c>
      <c r="CR1698">
        <v>1</v>
      </c>
      <c r="CW1698">
        <v>15670909</v>
      </c>
      <c r="CY1698">
        <v>1</v>
      </c>
      <c r="CZ1698">
        <v>0</v>
      </c>
      <c r="DA1698">
        <v>0</v>
      </c>
      <c r="DB1698">
        <v>0</v>
      </c>
      <c r="DC1698">
        <v>0</v>
      </c>
      <c r="DD1698">
        <v>1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>"12/16/2021 14:51:54.820"</f>
        <v>12/16/2021 14:51:54.820</v>
      </c>
      <c r="C1699" t="str">
        <f t="shared" si="82"/>
        <v>FFDFD3C0</v>
      </c>
      <c r="D1699" t="s">
        <v>124</v>
      </c>
      <c r="E1699">
        <v>10</v>
      </c>
      <c r="F1699">
        <v>1010</v>
      </c>
      <c r="G1699" t="s">
        <v>130</v>
      </c>
      <c r="J1699" t="s">
        <v>125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>"14:51:54.586"</f>
        <v>14:51:54.586</v>
      </c>
      <c r="T1699" t="str">
        <f>"14:51:54.086"</f>
        <v>14:51:54.086</v>
      </c>
      <c r="U1699" t="str">
        <f t="shared" si="84"/>
        <v>A0F928</v>
      </c>
      <c r="V1699">
        <v>0</v>
      </c>
      <c r="W1699">
        <v>0</v>
      </c>
      <c r="X1699">
        <v>2</v>
      </c>
      <c r="Z1699">
        <v>0</v>
      </c>
      <c r="AA1699">
        <v>9</v>
      </c>
      <c r="AB1699">
        <v>3</v>
      </c>
      <c r="AC1699">
        <v>0</v>
      </c>
      <c r="AD1699">
        <v>10</v>
      </c>
      <c r="AE1699">
        <v>0</v>
      </c>
      <c r="AF1699">
        <v>3</v>
      </c>
      <c r="AG1699">
        <v>2</v>
      </c>
      <c r="AH1699">
        <v>1</v>
      </c>
      <c r="AI1699" t="s">
        <v>915</v>
      </c>
      <c r="AJ1699">
        <v>35.827832000000001</v>
      </c>
      <c r="AK1699" t="s">
        <v>916</v>
      </c>
      <c r="AL1699">
        <v>-84.015262000000007</v>
      </c>
      <c r="AM1699">
        <v>25</v>
      </c>
      <c r="AN1699">
        <v>1650</v>
      </c>
      <c r="AO1699" t="s">
        <v>118</v>
      </c>
      <c r="AP1699">
        <v>89</v>
      </c>
      <c r="AQ1699">
        <v>100</v>
      </c>
      <c r="AR1699">
        <v>-256</v>
      </c>
      <c r="AZ1699">
        <v>300</v>
      </c>
      <c r="BA1699">
        <v>1</v>
      </c>
      <c r="BB1699" t="str">
        <f t="shared" si="83"/>
        <v xml:space="preserve">N162AM  </v>
      </c>
      <c r="BC1699">
        <v>1</v>
      </c>
      <c r="BE1699">
        <v>0</v>
      </c>
      <c r="BF1699">
        <v>0</v>
      </c>
      <c r="BG1699">
        <v>0</v>
      </c>
      <c r="BH1699">
        <v>1900</v>
      </c>
      <c r="BI1699">
        <v>1</v>
      </c>
      <c r="BJ1699">
        <v>1</v>
      </c>
      <c r="BK1699">
        <v>1</v>
      </c>
      <c r="BL1699">
        <v>0</v>
      </c>
      <c r="BO1699">
        <v>0</v>
      </c>
      <c r="BP1699">
        <v>0</v>
      </c>
      <c r="BW1699" t="str">
        <f>"14:51:54.588"</f>
        <v>14:51:54.588</v>
      </c>
      <c r="CJ1699">
        <v>3</v>
      </c>
      <c r="CK1699">
        <v>2</v>
      </c>
      <c r="CL1699">
        <v>0</v>
      </c>
      <c r="CM1699">
        <v>2</v>
      </c>
      <c r="CN1699">
        <v>0</v>
      </c>
      <c r="CO1699">
        <v>7</v>
      </c>
      <c r="CP1699" t="s">
        <v>119</v>
      </c>
      <c r="CQ1699">
        <v>232</v>
      </c>
      <c r="CR1699">
        <v>1</v>
      </c>
      <c r="CW1699">
        <v>15670909</v>
      </c>
      <c r="CY1699">
        <v>1</v>
      </c>
      <c r="CZ1699">
        <v>0</v>
      </c>
      <c r="DA1699">
        <v>1</v>
      </c>
      <c r="DB1699">
        <v>0</v>
      </c>
      <c r="DC1699">
        <v>0</v>
      </c>
      <c r="DD1699">
        <v>1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>"12/16/2021 14:51:54.820"</f>
        <v>12/16/2021 14:51:54.820</v>
      </c>
      <c r="C1700" t="str">
        <f t="shared" si="82"/>
        <v>FFDFD3C0</v>
      </c>
      <c r="D1700" t="s">
        <v>133</v>
      </c>
      <c r="E1700">
        <v>44</v>
      </c>
      <c r="H1700">
        <v>131</v>
      </c>
      <c r="I1700" t="s">
        <v>134</v>
      </c>
      <c r="J1700" t="s">
        <v>135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>"14:51:54.586"</f>
        <v>14:51:54.586</v>
      </c>
      <c r="T1700" t="str">
        <f>"14:51:54.086"</f>
        <v>14:51:54.086</v>
      </c>
      <c r="U1700" t="str">
        <f t="shared" si="84"/>
        <v>A0F928</v>
      </c>
      <c r="V1700">
        <v>0</v>
      </c>
      <c r="W1700">
        <v>0</v>
      </c>
      <c r="X1700">
        <v>2</v>
      </c>
      <c r="Z1700">
        <v>0</v>
      </c>
      <c r="AA1700">
        <v>9</v>
      </c>
      <c r="AB1700">
        <v>3</v>
      </c>
      <c r="AC1700">
        <v>0</v>
      </c>
      <c r="AD1700">
        <v>10</v>
      </c>
      <c r="AE1700">
        <v>0</v>
      </c>
      <c r="AF1700">
        <v>3</v>
      </c>
      <c r="AG1700">
        <v>2</v>
      </c>
      <c r="AH1700">
        <v>1</v>
      </c>
      <c r="AI1700" t="s">
        <v>915</v>
      </c>
      <c r="AJ1700">
        <v>35.827832000000001</v>
      </c>
      <c r="AK1700" t="s">
        <v>916</v>
      </c>
      <c r="AL1700">
        <v>-84.015262000000007</v>
      </c>
      <c r="AM1700">
        <v>25</v>
      </c>
      <c r="AN1700">
        <v>1650</v>
      </c>
      <c r="AO1700" t="s">
        <v>118</v>
      </c>
      <c r="AP1700">
        <v>89</v>
      </c>
      <c r="AQ1700">
        <v>100</v>
      </c>
      <c r="AR1700">
        <v>-256</v>
      </c>
      <c r="AZ1700">
        <v>300</v>
      </c>
      <c r="BA1700">
        <v>1</v>
      </c>
      <c r="BB1700" t="str">
        <f t="shared" si="83"/>
        <v xml:space="preserve">N162AM  </v>
      </c>
      <c r="BC1700">
        <v>1</v>
      </c>
      <c r="BE1700">
        <v>0</v>
      </c>
      <c r="BF1700">
        <v>0</v>
      </c>
      <c r="BG1700">
        <v>0</v>
      </c>
      <c r="BH1700">
        <v>1900</v>
      </c>
      <c r="BI1700">
        <v>1</v>
      </c>
      <c r="BJ1700">
        <v>1</v>
      </c>
      <c r="BK1700">
        <v>1</v>
      </c>
      <c r="BL1700">
        <v>0</v>
      </c>
      <c r="BO1700">
        <v>0</v>
      </c>
      <c r="BP1700">
        <v>0</v>
      </c>
      <c r="BW1700" t="str">
        <f>"14:51:54.588"</f>
        <v>14:51:54.588</v>
      </c>
      <c r="CJ1700">
        <v>3</v>
      </c>
      <c r="CK1700">
        <v>2</v>
      </c>
      <c r="CL1700">
        <v>0</v>
      </c>
      <c r="CM1700">
        <v>2</v>
      </c>
      <c r="CN1700">
        <v>0</v>
      </c>
      <c r="CO1700">
        <v>7</v>
      </c>
      <c r="CP1700" t="s">
        <v>119</v>
      </c>
      <c r="CQ1700">
        <v>232</v>
      </c>
      <c r="CR1700">
        <v>1</v>
      </c>
      <c r="CW1700">
        <v>15670909</v>
      </c>
      <c r="CY1700">
        <v>1</v>
      </c>
      <c r="CZ1700">
        <v>0</v>
      </c>
      <c r="DA1700">
        <v>1</v>
      </c>
      <c r="DB1700">
        <v>0</v>
      </c>
      <c r="DC1700">
        <v>0</v>
      </c>
      <c r="DD1700">
        <v>1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>"12/16/2021 14:51:54.836"</f>
        <v>12/16/2021 14:51:54.836</v>
      </c>
      <c r="C1701" t="str">
        <f t="shared" si="82"/>
        <v>FFDFD3C0</v>
      </c>
      <c r="D1701" t="s">
        <v>113</v>
      </c>
      <c r="E1701">
        <v>8</v>
      </c>
      <c r="H1701">
        <v>176</v>
      </c>
      <c r="I1701" t="s">
        <v>114</v>
      </c>
      <c r="J1701" t="s">
        <v>115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>"14:51:54.586"</f>
        <v>14:51:54.586</v>
      </c>
      <c r="T1701" t="str">
        <f>"14:51:54.086"</f>
        <v>14:51:54.086</v>
      </c>
      <c r="U1701" t="str">
        <f t="shared" si="84"/>
        <v>A0F928</v>
      </c>
      <c r="V1701">
        <v>0</v>
      </c>
      <c r="W1701">
        <v>0</v>
      </c>
      <c r="X1701">
        <v>2</v>
      </c>
      <c r="Z1701">
        <v>0</v>
      </c>
      <c r="AA1701">
        <v>9</v>
      </c>
      <c r="AB1701">
        <v>3</v>
      </c>
      <c r="AC1701">
        <v>0</v>
      </c>
      <c r="AD1701">
        <v>10</v>
      </c>
      <c r="AE1701">
        <v>0</v>
      </c>
      <c r="AF1701">
        <v>3</v>
      </c>
      <c r="AG1701">
        <v>2</v>
      </c>
      <c r="AH1701">
        <v>1</v>
      </c>
      <c r="AI1701" t="s">
        <v>915</v>
      </c>
      <c r="AJ1701">
        <v>35.827832000000001</v>
      </c>
      <c r="AK1701" t="s">
        <v>916</v>
      </c>
      <c r="AL1701">
        <v>-84.015262000000007</v>
      </c>
      <c r="AM1701">
        <v>25</v>
      </c>
      <c r="AN1701">
        <v>1650</v>
      </c>
      <c r="AO1701" t="s">
        <v>118</v>
      </c>
      <c r="AP1701">
        <v>89</v>
      </c>
      <c r="AQ1701">
        <v>100</v>
      </c>
      <c r="AR1701">
        <v>-256</v>
      </c>
      <c r="AZ1701">
        <v>300</v>
      </c>
      <c r="BA1701">
        <v>1</v>
      </c>
      <c r="BB1701" t="str">
        <f t="shared" si="83"/>
        <v xml:space="preserve">N162AM  </v>
      </c>
      <c r="BC1701">
        <v>1</v>
      </c>
      <c r="BE1701">
        <v>0</v>
      </c>
      <c r="BF1701">
        <v>0</v>
      </c>
      <c r="BG1701">
        <v>0</v>
      </c>
      <c r="BH1701">
        <v>1900</v>
      </c>
      <c r="BI1701">
        <v>1</v>
      </c>
      <c r="BJ1701">
        <v>1</v>
      </c>
      <c r="BK1701">
        <v>1</v>
      </c>
      <c r="BL1701">
        <v>0</v>
      </c>
      <c r="BO1701">
        <v>0</v>
      </c>
      <c r="BP1701">
        <v>0</v>
      </c>
      <c r="BW1701" t="str">
        <f>"14:51:54.588"</f>
        <v>14:51:54.588</v>
      </c>
      <c r="CJ1701">
        <v>3</v>
      </c>
      <c r="CK1701">
        <v>2</v>
      </c>
      <c r="CL1701">
        <v>0</v>
      </c>
      <c r="CM1701">
        <v>2</v>
      </c>
      <c r="CN1701">
        <v>0</v>
      </c>
      <c r="CO1701">
        <v>7</v>
      </c>
      <c r="CP1701" t="s">
        <v>119</v>
      </c>
      <c r="CQ1701">
        <v>232</v>
      </c>
      <c r="CR1701">
        <v>1</v>
      </c>
      <c r="CW1701">
        <v>15670909</v>
      </c>
      <c r="CY1701">
        <v>1</v>
      </c>
      <c r="CZ1701">
        <v>0</v>
      </c>
      <c r="DA1701">
        <v>1</v>
      </c>
      <c r="DB1701">
        <v>0</v>
      </c>
      <c r="DC1701">
        <v>0</v>
      </c>
      <c r="DD1701">
        <v>1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>"12/16/2021 14:51:55.860"</f>
        <v>12/16/2021 14:51:55.860</v>
      </c>
      <c r="C1702" t="str">
        <f t="shared" si="82"/>
        <v>FFDFD3C0</v>
      </c>
      <c r="D1702" t="s">
        <v>124</v>
      </c>
      <c r="E1702">
        <v>5</v>
      </c>
      <c r="F1702">
        <v>1005</v>
      </c>
      <c r="G1702" t="s">
        <v>114</v>
      </c>
      <c r="J1702" t="s">
        <v>125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>"14:51:55.648"</f>
        <v>14:51:55.648</v>
      </c>
      <c r="T1702" t="str">
        <f>"14:51:55.148"</f>
        <v>14:51:55.148</v>
      </c>
      <c r="U1702" t="str">
        <f t="shared" si="84"/>
        <v>A0F928</v>
      </c>
      <c r="V1702">
        <v>0</v>
      </c>
      <c r="W1702">
        <v>0</v>
      </c>
      <c r="X1702">
        <v>2</v>
      </c>
      <c r="Z1702">
        <v>0</v>
      </c>
      <c r="AA1702">
        <v>9</v>
      </c>
      <c r="AB1702">
        <v>3</v>
      </c>
      <c r="AC1702">
        <v>0</v>
      </c>
      <c r="AD1702">
        <v>10</v>
      </c>
      <c r="AE1702">
        <v>0</v>
      </c>
      <c r="AF1702">
        <v>3</v>
      </c>
      <c r="AG1702">
        <v>2</v>
      </c>
      <c r="AH1702">
        <v>1</v>
      </c>
      <c r="AI1702" t="s">
        <v>917</v>
      </c>
      <c r="AJ1702">
        <v>35.828325999999997</v>
      </c>
      <c r="AK1702" t="s">
        <v>918</v>
      </c>
      <c r="AL1702">
        <v>-84.014725999999996</v>
      </c>
      <c r="AM1702">
        <v>25</v>
      </c>
      <c r="AN1702">
        <v>1625</v>
      </c>
      <c r="AO1702" t="s">
        <v>118</v>
      </c>
      <c r="AP1702">
        <v>88</v>
      </c>
      <c r="AQ1702">
        <v>101</v>
      </c>
      <c r="AR1702">
        <v>-256</v>
      </c>
      <c r="AZ1702">
        <v>300</v>
      </c>
      <c r="BA1702">
        <v>1</v>
      </c>
      <c r="BB1702" t="str">
        <f t="shared" si="83"/>
        <v xml:space="preserve">N162AM  </v>
      </c>
      <c r="BC1702">
        <v>1</v>
      </c>
      <c r="BE1702">
        <v>0</v>
      </c>
      <c r="BF1702">
        <v>0</v>
      </c>
      <c r="BG1702">
        <v>0</v>
      </c>
      <c r="BH1702">
        <v>1900</v>
      </c>
      <c r="BI1702">
        <v>1</v>
      </c>
      <c r="BJ1702">
        <v>1</v>
      </c>
      <c r="BK1702">
        <v>1</v>
      </c>
      <c r="BL1702">
        <v>0</v>
      </c>
      <c r="BO1702">
        <v>0</v>
      </c>
      <c r="BP1702">
        <v>0</v>
      </c>
      <c r="BW1702" t="str">
        <f>"14:51:55.653"</f>
        <v>14:51:55.653</v>
      </c>
      <c r="CJ1702">
        <v>3</v>
      </c>
      <c r="CK1702">
        <v>2</v>
      </c>
      <c r="CL1702">
        <v>0</v>
      </c>
      <c r="CM1702">
        <v>2</v>
      </c>
      <c r="CN1702">
        <v>0</v>
      </c>
      <c r="CO1702">
        <v>7</v>
      </c>
      <c r="CP1702" t="s">
        <v>119</v>
      </c>
      <c r="CQ1702">
        <v>232</v>
      </c>
      <c r="CR1702">
        <v>1</v>
      </c>
      <c r="CW1702">
        <v>15672384</v>
      </c>
      <c r="CY1702">
        <v>0</v>
      </c>
      <c r="CZ1702">
        <v>0</v>
      </c>
      <c r="DA1702">
        <v>0</v>
      </c>
      <c r="DB1702">
        <v>0</v>
      </c>
      <c r="DC1702">
        <v>0</v>
      </c>
      <c r="DD1702">
        <v>1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>"12/16/2021 14:51:55.860"</f>
        <v>12/16/2021 14:51:55.860</v>
      </c>
      <c r="C1703" t="str">
        <f t="shared" si="82"/>
        <v>FFDFD3C0</v>
      </c>
      <c r="D1703" t="s">
        <v>124</v>
      </c>
      <c r="E1703">
        <v>10</v>
      </c>
      <c r="F1703">
        <v>1010</v>
      </c>
      <c r="G1703" t="s">
        <v>130</v>
      </c>
      <c r="J1703" t="s">
        <v>125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"14:51:55.648"</f>
        <v>14:51:55.648</v>
      </c>
      <c r="T1703" t="str">
        <f>"14:51:55.148"</f>
        <v>14:51:55.148</v>
      </c>
      <c r="U1703" t="str">
        <f t="shared" si="84"/>
        <v>A0F928</v>
      </c>
      <c r="V1703">
        <v>0</v>
      </c>
      <c r="W1703">
        <v>0</v>
      </c>
      <c r="X1703">
        <v>2</v>
      </c>
      <c r="Z1703">
        <v>0</v>
      </c>
      <c r="AA1703">
        <v>9</v>
      </c>
      <c r="AB1703">
        <v>3</v>
      </c>
      <c r="AC1703">
        <v>0</v>
      </c>
      <c r="AD1703">
        <v>10</v>
      </c>
      <c r="AE1703">
        <v>0</v>
      </c>
      <c r="AF1703">
        <v>3</v>
      </c>
      <c r="AG1703">
        <v>2</v>
      </c>
      <c r="AH1703">
        <v>1</v>
      </c>
      <c r="AI1703" t="s">
        <v>917</v>
      </c>
      <c r="AJ1703">
        <v>35.828325999999997</v>
      </c>
      <c r="AK1703" t="s">
        <v>918</v>
      </c>
      <c r="AL1703">
        <v>-84.014725999999996</v>
      </c>
      <c r="AM1703">
        <v>25</v>
      </c>
      <c r="AN1703">
        <v>1625</v>
      </c>
      <c r="AO1703" t="s">
        <v>118</v>
      </c>
      <c r="AP1703">
        <v>88</v>
      </c>
      <c r="AQ1703">
        <v>101</v>
      </c>
      <c r="AR1703">
        <v>-256</v>
      </c>
      <c r="AZ1703">
        <v>300</v>
      </c>
      <c r="BA1703">
        <v>1</v>
      </c>
      <c r="BB1703" t="str">
        <f t="shared" si="83"/>
        <v xml:space="preserve">N162AM  </v>
      </c>
      <c r="BC1703">
        <v>1</v>
      </c>
      <c r="BE1703">
        <v>0</v>
      </c>
      <c r="BF1703">
        <v>0</v>
      </c>
      <c r="BG1703">
        <v>0</v>
      </c>
      <c r="BH1703">
        <v>1900</v>
      </c>
      <c r="BI1703">
        <v>1</v>
      </c>
      <c r="BJ1703">
        <v>1</v>
      </c>
      <c r="BK1703">
        <v>1</v>
      </c>
      <c r="BL1703">
        <v>0</v>
      </c>
      <c r="BO1703">
        <v>0</v>
      </c>
      <c r="BP1703">
        <v>0</v>
      </c>
      <c r="BW1703" t="str">
        <f>"14:51:55.653"</f>
        <v>14:51:55.653</v>
      </c>
      <c r="CJ1703">
        <v>3</v>
      </c>
      <c r="CK1703">
        <v>2</v>
      </c>
      <c r="CL1703">
        <v>0</v>
      </c>
      <c r="CM1703">
        <v>2</v>
      </c>
      <c r="CN1703">
        <v>0</v>
      </c>
      <c r="CO1703">
        <v>7</v>
      </c>
      <c r="CP1703" t="s">
        <v>119</v>
      </c>
      <c r="CQ1703">
        <v>232</v>
      </c>
      <c r="CR1703">
        <v>1</v>
      </c>
      <c r="CW1703">
        <v>15672384</v>
      </c>
      <c r="CY1703">
        <v>0</v>
      </c>
      <c r="CZ1703">
        <v>0</v>
      </c>
      <c r="DA1703">
        <v>1</v>
      </c>
      <c r="DB1703">
        <v>0</v>
      </c>
      <c r="DC1703">
        <v>0</v>
      </c>
      <c r="DD1703">
        <v>1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>"12/16/2021 14:51:55.891"</f>
        <v>12/16/2021 14:51:55.891</v>
      </c>
      <c r="C1704" t="str">
        <f t="shared" si="82"/>
        <v>FFDFD3C0</v>
      </c>
      <c r="D1704" t="s">
        <v>133</v>
      </c>
      <c r="E1704">
        <v>44</v>
      </c>
      <c r="H1704">
        <v>131</v>
      </c>
      <c r="I1704" t="s">
        <v>134</v>
      </c>
      <c r="J1704" t="s">
        <v>135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"14:51:55.648"</f>
        <v>14:51:55.648</v>
      </c>
      <c r="T1704" t="str">
        <f>"14:51:55.148"</f>
        <v>14:51:55.148</v>
      </c>
      <c r="U1704" t="str">
        <f t="shared" si="84"/>
        <v>A0F928</v>
      </c>
      <c r="V1704">
        <v>0</v>
      </c>
      <c r="W1704">
        <v>0</v>
      </c>
      <c r="X1704">
        <v>2</v>
      </c>
      <c r="Z1704">
        <v>0</v>
      </c>
      <c r="AA1704">
        <v>9</v>
      </c>
      <c r="AB1704">
        <v>3</v>
      </c>
      <c r="AC1704">
        <v>0</v>
      </c>
      <c r="AD1704">
        <v>10</v>
      </c>
      <c r="AE1704">
        <v>0</v>
      </c>
      <c r="AF1704">
        <v>3</v>
      </c>
      <c r="AG1704">
        <v>2</v>
      </c>
      <c r="AH1704">
        <v>1</v>
      </c>
      <c r="AI1704" t="s">
        <v>917</v>
      </c>
      <c r="AJ1704">
        <v>35.828325999999997</v>
      </c>
      <c r="AK1704" t="s">
        <v>918</v>
      </c>
      <c r="AL1704">
        <v>-84.014725999999996</v>
      </c>
      <c r="AM1704">
        <v>25</v>
      </c>
      <c r="AN1704">
        <v>1625</v>
      </c>
      <c r="AO1704" t="s">
        <v>118</v>
      </c>
      <c r="AP1704">
        <v>88</v>
      </c>
      <c r="AQ1704">
        <v>101</v>
      </c>
      <c r="AR1704">
        <v>-256</v>
      </c>
      <c r="AZ1704">
        <v>300</v>
      </c>
      <c r="BA1704">
        <v>1</v>
      </c>
      <c r="BB1704" t="str">
        <f t="shared" si="83"/>
        <v xml:space="preserve">N162AM  </v>
      </c>
      <c r="BC1704">
        <v>1</v>
      </c>
      <c r="BE1704">
        <v>0</v>
      </c>
      <c r="BF1704">
        <v>0</v>
      </c>
      <c r="BG1704">
        <v>0</v>
      </c>
      <c r="BH1704">
        <v>1900</v>
      </c>
      <c r="BI1704">
        <v>1</v>
      </c>
      <c r="BJ1704">
        <v>1</v>
      </c>
      <c r="BK1704">
        <v>1</v>
      </c>
      <c r="BL1704">
        <v>0</v>
      </c>
      <c r="BO1704">
        <v>0</v>
      </c>
      <c r="BP1704">
        <v>0</v>
      </c>
      <c r="BW1704" t="str">
        <f>"14:51:55.653"</f>
        <v>14:51:55.653</v>
      </c>
      <c r="CJ1704">
        <v>3</v>
      </c>
      <c r="CK1704">
        <v>2</v>
      </c>
      <c r="CL1704">
        <v>0</v>
      </c>
      <c r="CM1704">
        <v>2</v>
      </c>
      <c r="CN1704">
        <v>0</v>
      </c>
      <c r="CO1704">
        <v>7</v>
      </c>
      <c r="CP1704" t="s">
        <v>119</v>
      </c>
      <c r="CQ1704">
        <v>232</v>
      </c>
      <c r="CR1704">
        <v>1</v>
      </c>
      <c r="CW1704">
        <v>15672384</v>
      </c>
      <c r="CY1704">
        <v>0</v>
      </c>
      <c r="CZ1704">
        <v>0</v>
      </c>
      <c r="DA1704">
        <v>1</v>
      </c>
      <c r="DB1704">
        <v>0</v>
      </c>
      <c r="DC1704">
        <v>0</v>
      </c>
      <c r="DD1704">
        <v>1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>"12/16/2021 14:51:55.891"</f>
        <v>12/16/2021 14:51:55.891</v>
      </c>
      <c r="C1705" t="str">
        <f t="shared" si="82"/>
        <v>FFDFD3C0</v>
      </c>
      <c r="D1705" t="s">
        <v>113</v>
      </c>
      <c r="E1705">
        <v>8</v>
      </c>
      <c r="H1705">
        <v>176</v>
      </c>
      <c r="I1705" t="s">
        <v>114</v>
      </c>
      <c r="J1705" t="s">
        <v>115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"14:51:55.648"</f>
        <v>14:51:55.648</v>
      </c>
      <c r="T1705" t="str">
        <f>"14:51:55.148"</f>
        <v>14:51:55.148</v>
      </c>
      <c r="U1705" t="str">
        <f t="shared" si="84"/>
        <v>A0F928</v>
      </c>
      <c r="V1705">
        <v>0</v>
      </c>
      <c r="W1705">
        <v>0</v>
      </c>
      <c r="X1705">
        <v>2</v>
      </c>
      <c r="Z1705">
        <v>0</v>
      </c>
      <c r="AA1705">
        <v>9</v>
      </c>
      <c r="AB1705">
        <v>3</v>
      </c>
      <c r="AC1705">
        <v>0</v>
      </c>
      <c r="AD1705">
        <v>10</v>
      </c>
      <c r="AE1705">
        <v>0</v>
      </c>
      <c r="AF1705">
        <v>3</v>
      </c>
      <c r="AG1705">
        <v>2</v>
      </c>
      <c r="AH1705">
        <v>1</v>
      </c>
      <c r="AI1705" t="s">
        <v>917</v>
      </c>
      <c r="AJ1705">
        <v>35.828325999999997</v>
      </c>
      <c r="AK1705" t="s">
        <v>918</v>
      </c>
      <c r="AL1705">
        <v>-84.014725999999996</v>
      </c>
      <c r="AM1705">
        <v>25</v>
      </c>
      <c r="AN1705">
        <v>1625</v>
      </c>
      <c r="AO1705" t="s">
        <v>118</v>
      </c>
      <c r="AP1705">
        <v>88</v>
      </c>
      <c r="AQ1705">
        <v>101</v>
      </c>
      <c r="AR1705">
        <v>-256</v>
      </c>
      <c r="AZ1705">
        <v>300</v>
      </c>
      <c r="BA1705">
        <v>1</v>
      </c>
      <c r="BB1705" t="str">
        <f t="shared" si="83"/>
        <v xml:space="preserve">N162AM  </v>
      </c>
      <c r="BC1705">
        <v>1</v>
      </c>
      <c r="BE1705">
        <v>0</v>
      </c>
      <c r="BF1705">
        <v>0</v>
      </c>
      <c r="BG1705">
        <v>0</v>
      </c>
      <c r="BH1705">
        <v>1900</v>
      </c>
      <c r="BI1705">
        <v>1</v>
      </c>
      <c r="BJ1705">
        <v>1</v>
      </c>
      <c r="BK1705">
        <v>1</v>
      </c>
      <c r="BL1705">
        <v>0</v>
      </c>
      <c r="BO1705">
        <v>0</v>
      </c>
      <c r="BP1705">
        <v>0</v>
      </c>
      <c r="BW1705" t="str">
        <f>"14:51:55.653"</f>
        <v>14:51:55.653</v>
      </c>
      <c r="CJ1705">
        <v>3</v>
      </c>
      <c r="CK1705">
        <v>2</v>
      </c>
      <c r="CL1705">
        <v>0</v>
      </c>
      <c r="CM1705">
        <v>2</v>
      </c>
      <c r="CN1705">
        <v>0</v>
      </c>
      <c r="CO1705">
        <v>7</v>
      </c>
      <c r="CP1705" t="s">
        <v>119</v>
      </c>
      <c r="CQ1705">
        <v>232</v>
      </c>
      <c r="CR1705">
        <v>1</v>
      </c>
      <c r="CW1705">
        <v>15672384</v>
      </c>
      <c r="CY1705">
        <v>0</v>
      </c>
      <c r="CZ1705">
        <v>0</v>
      </c>
      <c r="DA1705">
        <v>1</v>
      </c>
      <c r="DB1705">
        <v>0</v>
      </c>
      <c r="DC1705">
        <v>0</v>
      </c>
      <c r="DD1705">
        <v>1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>"12/16/2021 14:51:56.891"</f>
        <v>12/16/2021 14:51:56.891</v>
      </c>
      <c r="C1706" t="str">
        <f t="shared" si="82"/>
        <v>FFDFD3C0</v>
      </c>
      <c r="D1706" t="s">
        <v>124</v>
      </c>
      <c r="E1706">
        <v>10</v>
      </c>
      <c r="F1706">
        <v>1010</v>
      </c>
      <c r="G1706" t="s">
        <v>130</v>
      </c>
      <c r="J1706" t="s">
        <v>125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"14:51:56.688"</f>
        <v>14:51:56.688</v>
      </c>
      <c r="T1706" t="str">
        <f>"14:51:56.288"</f>
        <v>14:51:56.288</v>
      </c>
      <c r="U1706" t="str">
        <f t="shared" si="84"/>
        <v>A0F928</v>
      </c>
      <c r="V1706">
        <v>0</v>
      </c>
      <c r="W1706">
        <v>0</v>
      </c>
      <c r="X1706">
        <v>2</v>
      </c>
      <c r="Z1706">
        <v>0</v>
      </c>
      <c r="AA1706">
        <v>9</v>
      </c>
      <c r="AB1706">
        <v>3</v>
      </c>
      <c r="AC1706">
        <v>0</v>
      </c>
      <c r="AD1706">
        <v>10</v>
      </c>
      <c r="AE1706">
        <v>0</v>
      </c>
      <c r="AF1706">
        <v>3</v>
      </c>
      <c r="AG1706">
        <v>2</v>
      </c>
      <c r="AH1706">
        <v>1</v>
      </c>
      <c r="AI1706" t="s">
        <v>919</v>
      </c>
      <c r="AJ1706">
        <v>35.828797999999999</v>
      </c>
      <c r="AK1706" t="s">
        <v>920</v>
      </c>
      <c r="AL1706">
        <v>-84.014211000000003</v>
      </c>
      <c r="AM1706">
        <v>25</v>
      </c>
      <c r="AN1706">
        <v>1625</v>
      </c>
      <c r="AO1706" t="s">
        <v>118</v>
      </c>
      <c r="AP1706">
        <v>88</v>
      </c>
      <c r="AQ1706">
        <v>101</v>
      </c>
      <c r="AR1706">
        <v>-256</v>
      </c>
      <c r="AZ1706">
        <v>300</v>
      </c>
      <c r="BA1706">
        <v>1</v>
      </c>
      <c r="BB1706" t="str">
        <f t="shared" si="83"/>
        <v xml:space="preserve">N162AM  </v>
      </c>
      <c r="BC1706">
        <v>1</v>
      </c>
      <c r="BE1706">
        <v>0</v>
      </c>
      <c r="BF1706">
        <v>0</v>
      </c>
      <c r="BG1706">
        <v>0</v>
      </c>
      <c r="BH1706">
        <v>1875</v>
      </c>
      <c r="BI1706">
        <v>1</v>
      </c>
      <c r="BJ1706">
        <v>1</v>
      </c>
      <c r="BK1706">
        <v>1</v>
      </c>
      <c r="BL1706">
        <v>0</v>
      </c>
      <c r="BO1706">
        <v>0</v>
      </c>
      <c r="BP1706">
        <v>0</v>
      </c>
      <c r="BW1706" t="str">
        <f>"14:51:56.695"</f>
        <v>14:51:56.695</v>
      </c>
      <c r="CJ1706">
        <v>3</v>
      </c>
      <c r="CK1706">
        <v>2</v>
      </c>
      <c r="CL1706">
        <v>0</v>
      </c>
      <c r="CM1706">
        <v>2</v>
      </c>
      <c r="CN1706">
        <v>0</v>
      </c>
      <c r="CO1706">
        <v>7</v>
      </c>
      <c r="CP1706" t="s">
        <v>119</v>
      </c>
      <c r="CQ1706">
        <v>232</v>
      </c>
      <c r="CR1706">
        <v>1</v>
      </c>
      <c r="CW1706">
        <v>15673895</v>
      </c>
      <c r="CY1706">
        <v>0</v>
      </c>
      <c r="CZ1706">
        <v>0</v>
      </c>
      <c r="DA1706">
        <v>0</v>
      </c>
      <c r="DB1706">
        <v>0</v>
      </c>
      <c r="DC1706">
        <v>0</v>
      </c>
      <c r="DD1706">
        <v>1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>"12/16/2021 14:51:56.891"</f>
        <v>12/16/2021 14:51:56.891</v>
      </c>
      <c r="C1707" t="str">
        <f t="shared" si="82"/>
        <v>FFDFD3C0</v>
      </c>
      <c r="D1707" t="s">
        <v>124</v>
      </c>
      <c r="E1707">
        <v>5</v>
      </c>
      <c r="F1707">
        <v>1005</v>
      </c>
      <c r="G1707" t="s">
        <v>114</v>
      </c>
      <c r="J1707" t="s">
        <v>125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>"14:51:56.688"</f>
        <v>14:51:56.688</v>
      </c>
      <c r="T1707" t="str">
        <f>"14:51:56.288"</f>
        <v>14:51:56.288</v>
      </c>
      <c r="U1707" t="str">
        <f t="shared" si="84"/>
        <v>A0F928</v>
      </c>
      <c r="V1707">
        <v>0</v>
      </c>
      <c r="W1707">
        <v>0</v>
      </c>
      <c r="X1707">
        <v>2</v>
      </c>
      <c r="Z1707">
        <v>0</v>
      </c>
      <c r="AA1707">
        <v>9</v>
      </c>
      <c r="AB1707">
        <v>3</v>
      </c>
      <c r="AC1707">
        <v>0</v>
      </c>
      <c r="AD1707">
        <v>10</v>
      </c>
      <c r="AE1707">
        <v>0</v>
      </c>
      <c r="AF1707">
        <v>3</v>
      </c>
      <c r="AG1707">
        <v>2</v>
      </c>
      <c r="AH1707">
        <v>1</v>
      </c>
      <c r="AI1707" t="s">
        <v>919</v>
      </c>
      <c r="AJ1707">
        <v>35.828797999999999</v>
      </c>
      <c r="AK1707" t="s">
        <v>920</v>
      </c>
      <c r="AL1707">
        <v>-84.014211000000003</v>
      </c>
      <c r="AM1707">
        <v>25</v>
      </c>
      <c r="AN1707">
        <v>1625</v>
      </c>
      <c r="AO1707" t="s">
        <v>118</v>
      </c>
      <c r="AP1707">
        <v>88</v>
      </c>
      <c r="AQ1707">
        <v>101</v>
      </c>
      <c r="AR1707">
        <v>-256</v>
      </c>
      <c r="AZ1707">
        <v>300</v>
      </c>
      <c r="BA1707">
        <v>1</v>
      </c>
      <c r="BB1707" t="str">
        <f t="shared" si="83"/>
        <v xml:space="preserve">N162AM  </v>
      </c>
      <c r="BC1707">
        <v>1</v>
      </c>
      <c r="BE1707">
        <v>0</v>
      </c>
      <c r="BF1707">
        <v>0</v>
      </c>
      <c r="BG1707">
        <v>0</v>
      </c>
      <c r="BH1707">
        <v>1875</v>
      </c>
      <c r="BI1707">
        <v>1</v>
      </c>
      <c r="BJ1707">
        <v>1</v>
      </c>
      <c r="BK1707">
        <v>1</v>
      </c>
      <c r="BL1707">
        <v>0</v>
      </c>
      <c r="BO1707">
        <v>0</v>
      </c>
      <c r="BP1707">
        <v>0</v>
      </c>
      <c r="BW1707" t="str">
        <f>"14:51:56.695"</f>
        <v>14:51:56.695</v>
      </c>
      <c r="CJ1707">
        <v>3</v>
      </c>
      <c r="CK1707">
        <v>2</v>
      </c>
      <c r="CL1707">
        <v>0</v>
      </c>
      <c r="CM1707">
        <v>2</v>
      </c>
      <c r="CN1707">
        <v>0</v>
      </c>
      <c r="CO1707">
        <v>7</v>
      </c>
      <c r="CP1707" t="s">
        <v>119</v>
      </c>
      <c r="CQ1707">
        <v>232</v>
      </c>
      <c r="CR1707">
        <v>1</v>
      </c>
      <c r="CW1707">
        <v>15673895</v>
      </c>
      <c r="CY1707">
        <v>0</v>
      </c>
      <c r="CZ1707">
        <v>0</v>
      </c>
      <c r="DA1707">
        <v>1</v>
      </c>
      <c r="DB1707">
        <v>0</v>
      </c>
      <c r="DC1707">
        <v>0</v>
      </c>
      <c r="DD1707">
        <v>1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>"12/16/2021 14:51:56.891"</f>
        <v>12/16/2021 14:51:56.891</v>
      </c>
      <c r="C1708" t="str">
        <f t="shared" si="82"/>
        <v>FFDFD3C0</v>
      </c>
      <c r="D1708" t="s">
        <v>133</v>
      </c>
      <c r="E1708">
        <v>44</v>
      </c>
      <c r="H1708">
        <v>131</v>
      </c>
      <c r="I1708" t="s">
        <v>134</v>
      </c>
      <c r="J1708" t="s">
        <v>135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>"14:51:56.688"</f>
        <v>14:51:56.688</v>
      </c>
      <c r="T1708" t="str">
        <f>"14:51:56.288"</f>
        <v>14:51:56.288</v>
      </c>
      <c r="U1708" t="str">
        <f t="shared" si="84"/>
        <v>A0F928</v>
      </c>
      <c r="V1708">
        <v>0</v>
      </c>
      <c r="W1708">
        <v>0</v>
      </c>
      <c r="X1708">
        <v>2</v>
      </c>
      <c r="Z1708">
        <v>0</v>
      </c>
      <c r="AA1708">
        <v>9</v>
      </c>
      <c r="AB1708">
        <v>3</v>
      </c>
      <c r="AC1708">
        <v>0</v>
      </c>
      <c r="AD1708">
        <v>10</v>
      </c>
      <c r="AE1708">
        <v>0</v>
      </c>
      <c r="AF1708">
        <v>3</v>
      </c>
      <c r="AG1708">
        <v>2</v>
      </c>
      <c r="AH1708">
        <v>1</v>
      </c>
      <c r="AI1708" t="s">
        <v>919</v>
      </c>
      <c r="AJ1708">
        <v>35.828797999999999</v>
      </c>
      <c r="AK1708" t="s">
        <v>920</v>
      </c>
      <c r="AL1708">
        <v>-84.014211000000003</v>
      </c>
      <c r="AM1708">
        <v>25</v>
      </c>
      <c r="AN1708">
        <v>1625</v>
      </c>
      <c r="AO1708" t="s">
        <v>118</v>
      </c>
      <c r="AP1708">
        <v>88</v>
      </c>
      <c r="AQ1708">
        <v>101</v>
      </c>
      <c r="AR1708">
        <v>-256</v>
      </c>
      <c r="AZ1708">
        <v>300</v>
      </c>
      <c r="BA1708">
        <v>1</v>
      </c>
      <c r="BB1708" t="str">
        <f t="shared" si="83"/>
        <v xml:space="preserve">N162AM  </v>
      </c>
      <c r="BC1708">
        <v>1</v>
      </c>
      <c r="BE1708">
        <v>0</v>
      </c>
      <c r="BF1708">
        <v>0</v>
      </c>
      <c r="BG1708">
        <v>0</v>
      </c>
      <c r="BH1708">
        <v>1875</v>
      </c>
      <c r="BI1708">
        <v>1</v>
      </c>
      <c r="BJ1708">
        <v>1</v>
      </c>
      <c r="BK1708">
        <v>1</v>
      </c>
      <c r="BL1708">
        <v>0</v>
      </c>
      <c r="BO1708">
        <v>0</v>
      </c>
      <c r="BP1708">
        <v>0</v>
      </c>
      <c r="BW1708" t="str">
        <f>"14:51:56.695"</f>
        <v>14:51:56.695</v>
      </c>
      <c r="CJ1708">
        <v>3</v>
      </c>
      <c r="CK1708">
        <v>2</v>
      </c>
      <c r="CL1708">
        <v>0</v>
      </c>
      <c r="CM1708">
        <v>2</v>
      </c>
      <c r="CN1708">
        <v>0</v>
      </c>
      <c r="CO1708">
        <v>7</v>
      </c>
      <c r="CP1708" t="s">
        <v>119</v>
      </c>
      <c r="CQ1708">
        <v>232</v>
      </c>
      <c r="CR1708">
        <v>1</v>
      </c>
      <c r="CW1708">
        <v>15673895</v>
      </c>
      <c r="CY1708">
        <v>0</v>
      </c>
      <c r="CZ1708">
        <v>0</v>
      </c>
      <c r="DA1708">
        <v>1</v>
      </c>
      <c r="DB1708">
        <v>0</v>
      </c>
      <c r="DC1708">
        <v>0</v>
      </c>
      <c r="DD1708">
        <v>1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>"12/16/2021 14:51:56.891"</f>
        <v>12/16/2021 14:51:56.891</v>
      </c>
      <c r="C1709" t="str">
        <f t="shared" si="82"/>
        <v>FFDFD3C0</v>
      </c>
      <c r="D1709" t="s">
        <v>113</v>
      </c>
      <c r="E1709">
        <v>8</v>
      </c>
      <c r="H1709">
        <v>176</v>
      </c>
      <c r="I1709" t="s">
        <v>114</v>
      </c>
      <c r="J1709" t="s">
        <v>115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>"14:51:56.688"</f>
        <v>14:51:56.688</v>
      </c>
      <c r="T1709" t="str">
        <f>"14:51:56.288"</f>
        <v>14:51:56.288</v>
      </c>
      <c r="U1709" t="str">
        <f t="shared" si="84"/>
        <v>A0F928</v>
      </c>
      <c r="V1709">
        <v>0</v>
      </c>
      <c r="W1709">
        <v>0</v>
      </c>
      <c r="X1709">
        <v>2</v>
      </c>
      <c r="Z1709">
        <v>0</v>
      </c>
      <c r="AA1709">
        <v>9</v>
      </c>
      <c r="AB1709">
        <v>3</v>
      </c>
      <c r="AC1709">
        <v>0</v>
      </c>
      <c r="AD1709">
        <v>10</v>
      </c>
      <c r="AE1709">
        <v>0</v>
      </c>
      <c r="AF1709">
        <v>3</v>
      </c>
      <c r="AG1709">
        <v>2</v>
      </c>
      <c r="AH1709">
        <v>1</v>
      </c>
      <c r="AI1709" t="s">
        <v>919</v>
      </c>
      <c r="AJ1709">
        <v>35.828797999999999</v>
      </c>
      <c r="AK1709" t="s">
        <v>920</v>
      </c>
      <c r="AL1709">
        <v>-84.014211000000003</v>
      </c>
      <c r="AM1709">
        <v>25</v>
      </c>
      <c r="AN1709">
        <v>1625</v>
      </c>
      <c r="AO1709" t="s">
        <v>118</v>
      </c>
      <c r="AP1709">
        <v>88</v>
      </c>
      <c r="AQ1709">
        <v>101</v>
      </c>
      <c r="AR1709">
        <v>-256</v>
      </c>
      <c r="AZ1709">
        <v>300</v>
      </c>
      <c r="BA1709">
        <v>1</v>
      </c>
      <c r="BB1709" t="str">
        <f t="shared" si="83"/>
        <v xml:space="preserve">N162AM  </v>
      </c>
      <c r="BC1709">
        <v>1</v>
      </c>
      <c r="BE1709">
        <v>0</v>
      </c>
      <c r="BF1709">
        <v>0</v>
      </c>
      <c r="BG1709">
        <v>0</v>
      </c>
      <c r="BH1709">
        <v>1875</v>
      </c>
      <c r="BI1709">
        <v>1</v>
      </c>
      <c r="BJ1709">
        <v>1</v>
      </c>
      <c r="BK1709">
        <v>1</v>
      </c>
      <c r="BL1709">
        <v>0</v>
      </c>
      <c r="BO1709">
        <v>0</v>
      </c>
      <c r="BP1709">
        <v>0</v>
      </c>
      <c r="BW1709" t="str">
        <f>"14:51:56.695"</f>
        <v>14:51:56.695</v>
      </c>
      <c r="CJ1709">
        <v>3</v>
      </c>
      <c r="CK1709">
        <v>2</v>
      </c>
      <c r="CL1709">
        <v>0</v>
      </c>
      <c r="CM1709">
        <v>2</v>
      </c>
      <c r="CN1709">
        <v>0</v>
      </c>
      <c r="CO1709">
        <v>7</v>
      </c>
      <c r="CP1709" t="s">
        <v>119</v>
      </c>
      <c r="CQ1709">
        <v>232</v>
      </c>
      <c r="CR1709">
        <v>1</v>
      </c>
      <c r="CW1709">
        <v>15673895</v>
      </c>
      <c r="CY1709">
        <v>0</v>
      </c>
      <c r="CZ1709">
        <v>0</v>
      </c>
      <c r="DA1709">
        <v>1</v>
      </c>
      <c r="DB1709">
        <v>0</v>
      </c>
      <c r="DC1709">
        <v>0</v>
      </c>
      <c r="DD1709">
        <v>1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>"12/16/2021 14:51:58.032"</f>
        <v>12/16/2021 14:51:58.032</v>
      </c>
      <c r="C1710" t="str">
        <f t="shared" ref="C1710:C1773" si="85">"FFDFD3C0"</f>
        <v>FFDFD3C0</v>
      </c>
      <c r="D1710" t="s">
        <v>124</v>
      </c>
      <c r="E1710">
        <v>10</v>
      </c>
      <c r="F1710">
        <v>1010</v>
      </c>
      <c r="G1710" t="s">
        <v>130</v>
      </c>
      <c r="J1710" t="s">
        <v>125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>"14:51:57.820"</f>
        <v>14:51:57.820</v>
      </c>
      <c r="T1710" t="str">
        <f>"14:51:57.320"</f>
        <v>14:51:57.320</v>
      </c>
      <c r="U1710" t="str">
        <f t="shared" si="84"/>
        <v>A0F928</v>
      </c>
      <c r="V1710">
        <v>0</v>
      </c>
      <c r="W1710">
        <v>0</v>
      </c>
      <c r="X1710">
        <v>2</v>
      </c>
      <c r="Z1710">
        <v>0</v>
      </c>
      <c r="AA1710">
        <v>9</v>
      </c>
      <c r="AB1710">
        <v>3</v>
      </c>
      <c r="AC1710">
        <v>0</v>
      </c>
      <c r="AD1710">
        <v>10</v>
      </c>
      <c r="AE1710">
        <v>0</v>
      </c>
      <c r="AF1710">
        <v>3</v>
      </c>
      <c r="AG1710">
        <v>2</v>
      </c>
      <c r="AH1710">
        <v>1</v>
      </c>
      <c r="AI1710" t="s">
        <v>921</v>
      </c>
      <c r="AJ1710">
        <v>35.829290999999998</v>
      </c>
      <c r="AK1710" t="s">
        <v>922</v>
      </c>
      <c r="AL1710">
        <v>-84.013717</v>
      </c>
      <c r="AM1710">
        <v>25</v>
      </c>
      <c r="AN1710">
        <v>1625</v>
      </c>
      <c r="AO1710" t="s">
        <v>118</v>
      </c>
      <c r="AP1710">
        <v>88</v>
      </c>
      <c r="AQ1710">
        <v>100</v>
      </c>
      <c r="AR1710">
        <v>-256</v>
      </c>
      <c r="AZ1710">
        <v>300</v>
      </c>
      <c r="BA1710">
        <v>1</v>
      </c>
      <c r="BB1710" t="str">
        <f t="shared" ref="BB1710:BB1773" si="86">"N162AM  "</f>
        <v xml:space="preserve">N162AM  </v>
      </c>
      <c r="BC1710">
        <v>1</v>
      </c>
      <c r="BE1710">
        <v>0</v>
      </c>
      <c r="BF1710">
        <v>0</v>
      </c>
      <c r="BG1710">
        <v>0</v>
      </c>
      <c r="BH1710">
        <v>1875</v>
      </c>
      <c r="BI1710">
        <v>1</v>
      </c>
      <c r="BJ1710">
        <v>1</v>
      </c>
      <c r="BK1710">
        <v>1</v>
      </c>
      <c r="BL1710">
        <v>0</v>
      </c>
      <c r="BO1710">
        <v>0</v>
      </c>
      <c r="BP1710">
        <v>0</v>
      </c>
      <c r="BW1710" t="str">
        <f>"14:51:57.827"</f>
        <v>14:51:57.827</v>
      </c>
      <c r="CJ1710">
        <v>3</v>
      </c>
      <c r="CK1710">
        <v>2</v>
      </c>
      <c r="CL1710">
        <v>0</v>
      </c>
      <c r="CM1710">
        <v>2</v>
      </c>
      <c r="CN1710">
        <v>0</v>
      </c>
      <c r="CO1710">
        <v>7</v>
      </c>
      <c r="CP1710" t="s">
        <v>119</v>
      </c>
      <c r="CQ1710">
        <v>232</v>
      </c>
      <c r="CR1710">
        <v>1</v>
      </c>
      <c r="CW1710">
        <v>15675555</v>
      </c>
      <c r="CY1710">
        <v>0</v>
      </c>
      <c r="CZ1710">
        <v>0</v>
      </c>
      <c r="DA1710">
        <v>0</v>
      </c>
      <c r="DB1710">
        <v>0</v>
      </c>
      <c r="DC1710">
        <v>0</v>
      </c>
      <c r="DD1710">
        <v>1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>"12/16/2021 14:51:58.032"</f>
        <v>12/16/2021 14:51:58.032</v>
      </c>
      <c r="C1711" t="str">
        <f t="shared" si="85"/>
        <v>FFDFD3C0</v>
      </c>
      <c r="D1711" t="s">
        <v>124</v>
      </c>
      <c r="E1711">
        <v>5</v>
      </c>
      <c r="F1711">
        <v>1005</v>
      </c>
      <c r="G1711" t="s">
        <v>114</v>
      </c>
      <c r="J1711" t="s">
        <v>125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>"14:51:57.820"</f>
        <v>14:51:57.820</v>
      </c>
      <c r="T1711" t="str">
        <f>"14:51:57.320"</f>
        <v>14:51:57.320</v>
      </c>
      <c r="U1711" t="str">
        <f t="shared" si="84"/>
        <v>A0F928</v>
      </c>
      <c r="V1711">
        <v>0</v>
      </c>
      <c r="W1711">
        <v>0</v>
      </c>
      <c r="X1711">
        <v>2</v>
      </c>
      <c r="Z1711">
        <v>0</v>
      </c>
      <c r="AA1711">
        <v>9</v>
      </c>
      <c r="AB1711">
        <v>3</v>
      </c>
      <c r="AC1711">
        <v>0</v>
      </c>
      <c r="AD1711">
        <v>10</v>
      </c>
      <c r="AE1711">
        <v>0</v>
      </c>
      <c r="AF1711">
        <v>3</v>
      </c>
      <c r="AG1711">
        <v>2</v>
      </c>
      <c r="AH1711">
        <v>1</v>
      </c>
      <c r="AI1711" t="s">
        <v>921</v>
      </c>
      <c r="AJ1711">
        <v>35.829290999999998</v>
      </c>
      <c r="AK1711" t="s">
        <v>922</v>
      </c>
      <c r="AL1711">
        <v>-84.013717</v>
      </c>
      <c r="AM1711">
        <v>25</v>
      </c>
      <c r="AN1711">
        <v>1625</v>
      </c>
      <c r="AO1711" t="s">
        <v>118</v>
      </c>
      <c r="AP1711">
        <v>88</v>
      </c>
      <c r="AQ1711">
        <v>100</v>
      </c>
      <c r="AR1711">
        <v>-256</v>
      </c>
      <c r="AZ1711">
        <v>300</v>
      </c>
      <c r="BA1711">
        <v>1</v>
      </c>
      <c r="BB1711" t="str">
        <f t="shared" si="86"/>
        <v xml:space="preserve">N162AM  </v>
      </c>
      <c r="BC1711">
        <v>1</v>
      </c>
      <c r="BE1711">
        <v>0</v>
      </c>
      <c r="BF1711">
        <v>0</v>
      </c>
      <c r="BG1711">
        <v>0</v>
      </c>
      <c r="BH1711">
        <v>1875</v>
      </c>
      <c r="BI1711">
        <v>1</v>
      </c>
      <c r="BJ1711">
        <v>1</v>
      </c>
      <c r="BK1711">
        <v>1</v>
      </c>
      <c r="BL1711">
        <v>0</v>
      </c>
      <c r="BO1711">
        <v>0</v>
      </c>
      <c r="BP1711">
        <v>0</v>
      </c>
      <c r="BW1711" t="str">
        <f>"14:51:57.827"</f>
        <v>14:51:57.827</v>
      </c>
      <c r="CJ1711">
        <v>3</v>
      </c>
      <c r="CK1711">
        <v>2</v>
      </c>
      <c r="CL1711">
        <v>0</v>
      </c>
      <c r="CM1711">
        <v>2</v>
      </c>
      <c r="CN1711">
        <v>0</v>
      </c>
      <c r="CO1711">
        <v>7</v>
      </c>
      <c r="CP1711" t="s">
        <v>119</v>
      </c>
      <c r="CQ1711">
        <v>232</v>
      </c>
      <c r="CR1711">
        <v>1</v>
      </c>
      <c r="CW1711">
        <v>15675555</v>
      </c>
      <c r="CY1711">
        <v>0</v>
      </c>
      <c r="CZ1711">
        <v>0</v>
      </c>
      <c r="DA1711">
        <v>1</v>
      </c>
      <c r="DB1711">
        <v>0</v>
      </c>
      <c r="DC1711">
        <v>0</v>
      </c>
      <c r="DD1711">
        <v>1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>"12/16/2021 14:51:58.048"</f>
        <v>12/16/2021 14:51:58.048</v>
      </c>
      <c r="C1712" t="str">
        <f t="shared" si="85"/>
        <v>FFDFD3C0</v>
      </c>
      <c r="D1712" t="s">
        <v>133</v>
      </c>
      <c r="E1712">
        <v>44</v>
      </c>
      <c r="H1712">
        <v>131</v>
      </c>
      <c r="I1712" t="s">
        <v>134</v>
      </c>
      <c r="J1712" t="s">
        <v>135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>"14:51:57.820"</f>
        <v>14:51:57.820</v>
      </c>
      <c r="T1712" t="str">
        <f>"14:51:57.320"</f>
        <v>14:51:57.320</v>
      </c>
      <c r="U1712" t="str">
        <f t="shared" si="84"/>
        <v>A0F928</v>
      </c>
      <c r="V1712">
        <v>0</v>
      </c>
      <c r="W1712">
        <v>0</v>
      </c>
      <c r="X1712">
        <v>2</v>
      </c>
      <c r="Z1712">
        <v>0</v>
      </c>
      <c r="AA1712">
        <v>9</v>
      </c>
      <c r="AB1712">
        <v>3</v>
      </c>
      <c r="AC1712">
        <v>0</v>
      </c>
      <c r="AD1712">
        <v>10</v>
      </c>
      <c r="AE1712">
        <v>0</v>
      </c>
      <c r="AF1712">
        <v>3</v>
      </c>
      <c r="AG1712">
        <v>2</v>
      </c>
      <c r="AH1712">
        <v>1</v>
      </c>
      <c r="AI1712" t="s">
        <v>921</v>
      </c>
      <c r="AJ1712">
        <v>35.829290999999998</v>
      </c>
      <c r="AK1712" t="s">
        <v>922</v>
      </c>
      <c r="AL1712">
        <v>-84.013717</v>
      </c>
      <c r="AM1712">
        <v>25</v>
      </c>
      <c r="AN1712">
        <v>1625</v>
      </c>
      <c r="AO1712" t="s">
        <v>118</v>
      </c>
      <c r="AP1712">
        <v>88</v>
      </c>
      <c r="AQ1712">
        <v>100</v>
      </c>
      <c r="AR1712">
        <v>-256</v>
      </c>
      <c r="AZ1712">
        <v>300</v>
      </c>
      <c r="BA1712">
        <v>1</v>
      </c>
      <c r="BB1712" t="str">
        <f t="shared" si="86"/>
        <v xml:space="preserve">N162AM  </v>
      </c>
      <c r="BC1712">
        <v>1</v>
      </c>
      <c r="BE1712">
        <v>0</v>
      </c>
      <c r="BF1712">
        <v>0</v>
      </c>
      <c r="BG1712">
        <v>0</v>
      </c>
      <c r="BH1712">
        <v>1875</v>
      </c>
      <c r="BI1712">
        <v>1</v>
      </c>
      <c r="BJ1712">
        <v>1</v>
      </c>
      <c r="BK1712">
        <v>1</v>
      </c>
      <c r="BL1712">
        <v>0</v>
      </c>
      <c r="BO1712">
        <v>0</v>
      </c>
      <c r="BP1712">
        <v>0</v>
      </c>
      <c r="BW1712" t="str">
        <f>"14:51:57.827"</f>
        <v>14:51:57.827</v>
      </c>
      <c r="CJ1712">
        <v>3</v>
      </c>
      <c r="CK1712">
        <v>2</v>
      </c>
      <c r="CL1712">
        <v>0</v>
      </c>
      <c r="CM1712">
        <v>2</v>
      </c>
      <c r="CN1712">
        <v>0</v>
      </c>
      <c r="CO1712">
        <v>7</v>
      </c>
      <c r="CP1712" t="s">
        <v>119</v>
      </c>
      <c r="CQ1712">
        <v>232</v>
      </c>
      <c r="CR1712">
        <v>1</v>
      </c>
      <c r="CW1712">
        <v>15675555</v>
      </c>
      <c r="CY1712">
        <v>0</v>
      </c>
      <c r="CZ1712">
        <v>0</v>
      </c>
      <c r="DA1712">
        <v>1</v>
      </c>
      <c r="DB1712">
        <v>0</v>
      </c>
      <c r="DC1712">
        <v>0</v>
      </c>
      <c r="DD1712">
        <v>1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>"12/16/2021 14:51:58.063"</f>
        <v>12/16/2021 14:51:58.063</v>
      </c>
      <c r="C1713" t="str">
        <f t="shared" si="85"/>
        <v>FFDFD3C0</v>
      </c>
      <c r="D1713" t="s">
        <v>113</v>
      </c>
      <c r="E1713">
        <v>8</v>
      </c>
      <c r="H1713">
        <v>176</v>
      </c>
      <c r="I1713" t="s">
        <v>114</v>
      </c>
      <c r="J1713" t="s">
        <v>115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>"14:51:57.820"</f>
        <v>14:51:57.820</v>
      </c>
      <c r="T1713" t="str">
        <f>"14:51:57.320"</f>
        <v>14:51:57.320</v>
      </c>
      <c r="U1713" t="str">
        <f t="shared" si="84"/>
        <v>A0F928</v>
      </c>
      <c r="V1713">
        <v>0</v>
      </c>
      <c r="W1713">
        <v>0</v>
      </c>
      <c r="X1713">
        <v>2</v>
      </c>
      <c r="Z1713">
        <v>0</v>
      </c>
      <c r="AA1713">
        <v>9</v>
      </c>
      <c r="AB1713">
        <v>3</v>
      </c>
      <c r="AC1713">
        <v>0</v>
      </c>
      <c r="AD1713">
        <v>10</v>
      </c>
      <c r="AE1713">
        <v>0</v>
      </c>
      <c r="AF1713">
        <v>3</v>
      </c>
      <c r="AG1713">
        <v>2</v>
      </c>
      <c r="AH1713">
        <v>1</v>
      </c>
      <c r="AI1713" t="s">
        <v>921</v>
      </c>
      <c r="AJ1713">
        <v>35.829290999999998</v>
      </c>
      <c r="AK1713" t="s">
        <v>922</v>
      </c>
      <c r="AL1713">
        <v>-84.013717</v>
      </c>
      <c r="AM1713">
        <v>25</v>
      </c>
      <c r="AN1713">
        <v>1625</v>
      </c>
      <c r="AO1713" t="s">
        <v>118</v>
      </c>
      <c r="AP1713">
        <v>88</v>
      </c>
      <c r="AQ1713">
        <v>100</v>
      </c>
      <c r="AR1713">
        <v>-256</v>
      </c>
      <c r="AZ1713">
        <v>300</v>
      </c>
      <c r="BA1713">
        <v>1</v>
      </c>
      <c r="BB1713" t="str">
        <f t="shared" si="86"/>
        <v xml:space="preserve">N162AM  </v>
      </c>
      <c r="BC1713">
        <v>1</v>
      </c>
      <c r="BE1713">
        <v>0</v>
      </c>
      <c r="BF1713">
        <v>0</v>
      </c>
      <c r="BG1713">
        <v>0</v>
      </c>
      <c r="BH1713">
        <v>1875</v>
      </c>
      <c r="BI1713">
        <v>1</v>
      </c>
      <c r="BJ1713">
        <v>1</v>
      </c>
      <c r="BK1713">
        <v>1</v>
      </c>
      <c r="BL1713">
        <v>0</v>
      </c>
      <c r="BO1713">
        <v>0</v>
      </c>
      <c r="BP1713">
        <v>0</v>
      </c>
      <c r="BW1713" t="str">
        <f>"14:51:57.827"</f>
        <v>14:51:57.827</v>
      </c>
      <c r="CJ1713">
        <v>3</v>
      </c>
      <c r="CK1713">
        <v>2</v>
      </c>
      <c r="CL1713">
        <v>0</v>
      </c>
      <c r="CM1713">
        <v>2</v>
      </c>
      <c r="CN1713">
        <v>0</v>
      </c>
      <c r="CO1713">
        <v>7</v>
      </c>
      <c r="CP1713" t="s">
        <v>119</v>
      </c>
      <c r="CQ1713">
        <v>232</v>
      </c>
      <c r="CR1713">
        <v>1</v>
      </c>
      <c r="CW1713">
        <v>15675555</v>
      </c>
      <c r="CY1713">
        <v>0</v>
      </c>
      <c r="CZ1713">
        <v>0</v>
      </c>
      <c r="DA1713">
        <v>1</v>
      </c>
      <c r="DB1713">
        <v>0</v>
      </c>
      <c r="DC1713">
        <v>0</v>
      </c>
      <c r="DD1713">
        <v>1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>"12/16/2021 14:51:59.267"</f>
        <v>12/16/2021 14:51:59.267</v>
      </c>
      <c r="C1714" t="str">
        <f t="shared" si="85"/>
        <v>FFDFD3C0</v>
      </c>
      <c r="D1714" t="s">
        <v>133</v>
      </c>
      <c r="E1714">
        <v>44</v>
      </c>
      <c r="H1714">
        <v>131</v>
      </c>
      <c r="I1714" t="s">
        <v>134</v>
      </c>
      <c r="J1714" t="s">
        <v>135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>"14:51:58.938"</f>
        <v>14:51:58.938</v>
      </c>
      <c r="T1714" t="str">
        <f>"14:51:58.438"</f>
        <v>14:51:58.438</v>
      </c>
      <c r="U1714" t="str">
        <f t="shared" si="84"/>
        <v>A0F928</v>
      </c>
      <c r="V1714">
        <v>0</v>
      </c>
      <c r="W1714">
        <v>0</v>
      </c>
      <c r="X1714">
        <v>2</v>
      </c>
      <c r="Z1714">
        <v>0</v>
      </c>
      <c r="AA1714">
        <v>9</v>
      </c>
      <c r="AB1714">
        <v>3</v>
      </c>
      <c r="AC1714">
        <v>0</v>
      </c>
      <c r="AD1714">
        <v>10</v>
      </c>
      <c r="AE1714">
        <v>0</v>
      </c>
      <c r="AF1714">
        <v>3</v>
      </c>
      <c r="AG1714">
        <v>2</v>
      </c>
      <c r="AH1714">
        <v>1</v>
      </c>
      <c r="AI1714" t="s">
        <v>923</v>
      </c>
      <c r="AJ1714">
        <v>35.829805999999998</v>
      </c>
      <c r="AK1714" t="s">
        <v>183</v>
      </c>
      <c r="AL1714">
        <v>-84.013159000000002</v>
      </c>
      <c r="AM1714">
        <v>25</v>
      </c>
      <c r="AN1714">
        <v>1625</v>
      </c>
      <c r="AO1714" t="s">
        <v>118</v>
      </c>
      <c r="AP1714">
        <v>88</v>
      </c>
      <c r="AQ1714">
        <v>100</v>
      </c>
      <c r="AR1714">
        <v>-256</v>
      </c>
      <c r="AZ1714">
        <v>300</v>
      </c>
      <c r="BA1714">
        <v>1</v>
      </c>
      <c r="BB1714" t="str">
        <f t="shared" si="86"/>
        <v xml:space="preserve">N162AM  </v>
      </c>
      <c r="BC1714">
        <v>1</v>
      </c>
      <c r="BE1714">
        <v>0</v>
      </c>
      <c r="BF1714">
        <v>0</v>
      </c>
      <c r="BG1714">
        <v>0</v>
      </c>
      <c r="BH1714">
        <v>1875</v>
      </c>
      <c r="BI1714">
        <v>1</v>
      </c>
      <c r="BJ1714">
        <v>1</v>
      </c>
      <c r="BK1714">
        <v>1</v>
      </c>
      <c r="BL1714">
        <v>0</v>
      </c>
      <c r="BO1714">
        <v>0</v>
      </c>
      <c r="BP1714">
        <v>0</v>
      </c>
      <c r="BW1714" t="str">
        <f>"14:51:58.943"</f>
        <v>14:51:58.943</v>
      </c>
      <c r="CJ1714">
        <v>3</v>
      </c>
      <c r="CK1714">
        <v>2</v>
      </c>
      <c r="CL1714">
        <v>0</v>
      </c>
      <c r="CM1714">
        <v>2</v>
      </c>
      <c r="CN1714">
        <v>0</v>
      </c>
      <c r="CO1714">
        <v>7</v>
      </c>
      <c r="CP1714" t="s">
        <v>119</v>
      </c>
      <c r="CQ1714">
        <v>232</v>
      </c>
      <c r="CR1714">
        <v>1</v>
      </c>
      <c r="CW1714">
        <v>15677192</v>
      </c>
      <c r="CY1714">
        <v>0</v>
      </c>
      <c r="CZ1714">
        <v>0</v>
      </c>
      <c r="DA1714">
        <v>0</v>
      </c>
      <c r="DB1714">
        <v>0</v>
      </c>
      <c r="DC1714">
        <v>0</v>
      </c>
      <c r="DD1714">
        <v>1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>"12/16/2021 14:51:59.267"</f>
        <v>12/16/2021 14:51:59.267</v>
      </c>
      <c r="C1715" t="str">
        <f t="shared" si="85"/>
        <v>FFDFD3C0</v>
      </c>
      <c r="D1715" t="s">
        <v>113</v>
      </c>
      <c r="E1715">
        <v>8</v>
      </c>
      <c r="H1715">
        <v>176</v>
      </c>
      <c r="I1715" t="s">
        <v>114</v>
      </c>
      <c r="J1715" t="s">
        <v>115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>"14:51:58.938"</f>
        <v>14:51:58.938</v>
      </c>
      <c r="T1715" t="str">
        <f>"14:51:58.438"</f>
        <v>14:51:58.438</v>
      </c>
      <c r="U1715" t="str">
        <f t="shared" si="84"/>
        <v>A0F928</v>
      </c>
      <c r="V1715">
        <v>0</v>
      </c>
      <c r="W1715">
        <v>0</v>
      </c>
      <c r="X1715">
        <v>2</v>
      </c>
      <c r="Z1715">
        <v>0</v>
      </c>
      <c r="AA1715">
        <v>9</v>
      </c>
      <c r="AB1715">
        <v>3</v>
      </c>
      <c r="AC1715">
        <v>0</v>
      </c>
      <c r="AD1715">
        <v>10</v>
      </c>
      <c r="AE1715">
        <v>0</v>
      </c>
      <c r="AF1715">
        <v>3</v>
      </c>
      <c r="AG1715">
        <v>2</v>
      </c>
      <c r="AH1715">
        <v>1</v>
      </c>
      <c r="AI1715" t="s">
        <v>923</v>
      </c>
      <c r="AJ1715">
        <v>35.829805999999998</v>
      </c>
      <c r="AK1715" t="s">
        <v>183</v>
      </c>
      <c r="AL1715">
        <v>-84.013159000000002</v>
      </c>
      <c r="AM1715">
        <v>25</v>
      </c>
      <c r="AN1715">
        <v>1625</v>
      </c>
      <c r="AO1715" t="s">
        <v>118</v>
      </c>
      <c r="AP1715">
        <v>88</v>
      </c>
      <c r="AQ1715">
        <v>100</v>
      </c>
      <c r="AR1715">
        <v>-256</v>
      </c>
      <c r="AZ1715">
        <v>300</v>
      </c>
      <c r="BA1715">
        <v>1</v>
      </c>
      <c r="BB1715" t="str">
        <f t="shared" si="86"/>
        <v xml:space="preserve">N162AM  </v>
      </c>
      <c r="BC1715">
        <v>1</v>
      </c>
      <c r="BE1715">
        <v>0</v>
      </c>
      <c r="BF1715">
        <v>0</v>
      </c>
      <c r="BG1715">
        <v>0</v>
      </c>
      <c r="BH1715">
        <v>1875</v>
      </c>
      <c r="BI1715">
        <v>1</v>
      </c>
      <c r="BJ1715">
        <v>1</v>
      </c>
      <c r="BK1715">
        <v>1</v>
      </c>
      <c r="BL1715">
        <v>0</v>
      </c>
      <c r="BO1715">
        <v>0</v>
      </c>
      <c r="BP1715">
        <v>0</v>
      </c>
      <c r="BW1715" t="str">
        <f>"14:51:58.943"</f>
        <v>14:51:58.943</v>
      </c>
      <c r="CJ1715">
        <v>3</v>
      </c>
      <c r="CK1715">
        <v>2</v>
      </c>
      <c r="CL1715">
        <v>0</v>
      </c>
      <c r="CM1715">
        <v>2</v>
      </c>
      <c r="CN1715">
        <v>0</v>
      </c>
      <c r="CO1715">
        <v>7</v>
      </c>
      <c r="CP1715" t="s">
        <v>119</v>
      </c>
      <c r="CQ1715">
        <v>232</v>
      </c>
      <c r="CR1715">
        <v>1</v>
      </c>
      <c r="CW1715">
        <v>15677192</v>
      </c>
      <c r="CY1715">
        <v>0</v>
      </c>
      <c r="CZ1715">
        <v>0</v>
      </c>
      <c r="DA1715">
        <v>1</v>
      </c>
      <c r="DB1715">
        <v>0</v>
      </c>
      <c r="DC1715">
        <v>0</v>
      </c>
      <c r="DD1715">
        <v>1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>"12/16/2021 14:51:59.267"</f>
        <v>12/16/2021 14:51:59.267</v>
      </c>
      <c r="C1716" t="str">
        <f t="shared" si="85"/>
        <v>FFDFD3C0</v>
      </c>
      <c r="D1716" t="s">
        <v>124</v>
      </c>
      <c r="E1716">
        <v>10</v>
      </c>
      <c r="F1716">
        <v>1010</v>
      </c>
      <c r="G1716" t="s">
        <v>130</v>
      </c>
      <c r="J1716" t="s">
        <v>125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>"14:51:58.938"</f>
        <v>14:51:58.938</v>
      </c>
      <c r="T1716" t="str">
        <f>"14:51:58.438"</f>
        <v>14:51:58.438</v>
      </c>
      <c r="U1716" t="str">
        <f t="shared" si="84"/>
        <v>A0F928</v>
      </c>
      <c r="V1716">
        <v>0</v>
      </c>
      <c r="W1716">
        <v>0</v>
      </c>
      <c r="X1716">
        <v>2</v>
      </c>
      <c r="Z1716">
        <v>0</v>
      </c>
      <c r="AA1716">
        <v>9</v>
      </c>
      <c r="AB1716">
        <v>3</v>
      </c>
      <c r="AC1716">
        <v>0</v>
      </c>
      <c r="AD1716">
        <v>10</v>
      </c>
      <c r="AE1716">
        <v>0</v>
      </c>
      <c r="AF1716">
        <v>3</v>
      </c>
      <c r="AG1716">
        <v>2</v>
      </c>
      <c r="AH1716">
        <v>1</v>
      </c>
      <c r="AI1716" t="s">
        <v>923</v>
      </c>
      <c r="AJ1716">
        <v>35.829805999999998</v>
      </c>
      <c r="AK1716" t="s">
        <v>183</v>
      </c>
      <c r="AL1716">
        <v>-84.013159000000002</v>
      </c>
      <c r="AM1716">
        <v>25</v>
      </c>
      <c r="AN1716">
        <v>1625</v>
      </c>
      <c r="AO1716" t="s">
        <v>118</v>
      </c>
      <c r="AP1716">
        <v>88</v>
      </c>
      <c r="AQ1716">
        <v>100</v>
      </c>
      <c r="AR1716">
        <v>-256</v>
      </c>
      <c r="AZ1716">
        <v>300</v>
      </c>
      <c r="BA1716">
        <v>1</v>
      </c>
      <c r="BB1716" t="str">
        <f t="shared" si="86"/>
        <v xml:space="preserve">N162AM  </v>
      </c>
      <c r="BC1716">
        <v>1</v>
      </c>
      <c r="BE1716">
        <v>0</v>
      </c>
      <c r="BF1716">
        <v>0</v>
      </c>
      <c r="BG1716">
        <v>0</v>
      </c>
      <c r="BH1716">
        <v>1875</v>
      </c>
      <c r="BI1716">
        <v>1</v>
      </c>
      <c r="BJ1716">
        <v>1</v>
      </c>
      <c r="BK1716">
        <v>1</v>
      </c>
      <c r="BL1716">
        <v>0</v>
      </c>
      <c r="BO1716">
        <v>0</v>
      </c>
      <c r="BP1716">
        <v>0</v>
      </c>
      <c r="BW1716" t="str">
        <f>"14:51:58.943"</f>
        <v>14:51:58.943</v>
      </c>
      <c r="CJ1716">
        <v>3</v>
      </c>
      <c r="CK1716">
        <v>2</v>
      </c>
      <c r="CL1716">
        <v>0</v>
      </c>
      <c r="CM1716">
        <v>2</v>
      </c>
      <c r="CN1716">
        <v>0</v>
      </c>
      <c r="CO1716">
        <v>7</v>
      </c>
      <c r="CP1716" t="s">
        <v>119</v>
      </c>
      <c r="CQ1716">
        <v>232</v>
      </c>
      <c r="CR1716">
        <v>1</v>
      </c>
      <c r="CW1716">
        <v>15677192</v>
      </c>
      <c r="CY1716">
        <v>0</v>
      </c>
      <c r="CZ1716">
        <v>0</v>
      </c>
      <c r="DA1716">
        <v>1</v>
      </c>
      <c r="DB1716">
        <v>0</v>
      </c>
      <c r="DC1716">
        <v>0</v>
      </c>
      <c r="DD1716">
        <v>1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>"12/16/2021 14:51:59.267"</f>
        <v>12/16/2021 14:51:59.267</v>
      </c>
      <c r="C1717" t="str">
        <f t="shared" si="85"/>
        <v>FFDFD3C0</v>
      </c>
      <c r="D1717" t="s">
        <v>124</v>
      </c>
      <c r="E1717">
        <v>5</v>
      </c>
      <c r="F1717">
        <v>1005</v>
      </c>
      <c r="G1717" t="s">
        <v>114</v>
      </c>
      <c r="J1717" t="s">
        <v>125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>"14:51:58.938"</f>
        <v>14:51:58.938</v>
      </c>
      <c r="T1717" t="str">
        <f>"14:51:58.438"</f>
        <v>14:51:58.438</v>
      </c>
      <c r="U1717" t="str">
        <f t="shared" si="84"/>
        <v>A0F928</v>
      </c>
      <c r="V1717">
        <v>0</v>
      </c>
      <c r="W1717">
        <v>0</v>
      </c>
      <c r="X1717">
        <v>2</v>
      </c>
      <c r="Z1717">
        <v>0</v>
      </c>
      <c r="AA1717">
        <v>9</v>
      </c>
      <c r="AB1717">
        <v>3</v>
      </c>
      <c r="AC1717">
        <v>0</v>
      </c>
      <c r="AD1717">
        <v>10</v>
      </c>
      <c r="AE1717">
        <v>0</v>
      </c>
      <c r="AF1717">
        <v>3</v>
      </c>
      <c r="AG1717">
        <v>2</v>
      </c>
      <c r="AH1717">
        <v>1</v>
      </c>
      <c r="AI1717" t="s">
        <v>923</v>
      </c>
      <c r="AJ1717">
        <v>35.829805999999998</v>
      </c>
      <c r="AK1717" t="s">
        <v>183</v>
      </c>
      <c r="AL1717">
        <v>-84.013159000000002</v>
      </c>
      <c r="AM1717">
        <v>25</v>
      </c>
      <c r="AN1717">
        <v>1625</v>
      </c>
      <c r="AO1717" t="s">
        <v>118</v>
      </c>
      <c r="AP1717">
        <v>88</v>
      </c>
      <c r="AQ1717">
        <v>100</v>
      </c>
      <c r="AR1717">
        <v>-256</v>
      </c>
      <c r="AZ1717">
        <v>300</v>
      </c>
      <c r="BA1717">
        <v>1</v>
      </c>
      <c r="BB1717" t="str">
        <f t="shared" si="86"/>
        <v xml:space="preserve">N162AM  </v>
      </c>
      <c r="BC1717">
        <v>1</v>
      </c>
      <c r="BE1717">
        <v>0</v>
      </c>
      <c r="BF1717">
        <v>0</v>
      </c>
      <c r="BG1717">
        <v>0</v>
      </c>
      <c r="BH1717">
        <v>1875</v>
      </c>
      <c r="BI1717">
        <v>1</v>
      </c>
      <c r="BJ1717">
        <v>1</v>
      </c>
      <c r="BK1717">
        <v>1</v>
      </c>
      <c r="BL1717">
        <v>0</v>
      </c>
      <c r="BO1717">
        <v>0</v>
      </c>
      <c r="BP1717">
        <v>0</v>
      </c>
      <c r="BW1717" t="str">
        <f>"14:51:58.943"</f>
        <v>14:51:58.943</v>
      </c>
      <c r="CJ1717">
        <v>3</v>
      </c>
      <c r="CK1717">
        <v>2</v>
      </c>
      <c r="CL1717">
        <v>0</v>
      </c>
      <c r="CM1717">
        <v>2</v>
      </c>
      <c r="CN1717">
        <v>0</v>
      </c>
      <c r="CO1717">
        <v>7</v>
      </c>
      <c r="CP1717" t="s">
        <v>119</v>
      </c>
      <c r="CQ1717">
        <v>232</v>
      </c>
      <c r="CR1717">
        <v>1</v>
      </c>
      <c r="CW1717">
        <v>15677192</v>
      </c>
      <c r="CY1717">
        <v>0</v>
      </c>
      <c r="CZ1717">
        <v>0</v>
      </c>
      <c r="DA1717">
        <v>1</v>
      </c>
      <c r="DB1717">
        <v>0</v>
      </c>
      <c r="DC1717">
        <v>0</v>
      </c>
      <c r="DD1717">
        <v>1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>"12/16/2021 14:52:00.179"</f>
        <v>12/16/2021 14:52:00.179</v>
      </c>
      <c r="C1718" t="str">
        <f t="shared" si="85"/>
        <v>FFDFD3C0</v>
      </c>
      <c r="D1718" t="s">
        <v>133</v>
      </c>
      <c r="E1718">
        <v>44</v>
      </c>
      <c r="H1718">
        <v>131</v>
      </c>
      <c r="I1718" t="s">
        <v>134</v>
      </c>
      <c r="J1718" t="s">
        <v>135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"14:51:59.969"</f>
        <v>14:51:59.969</v>
      </c>
      <c r="T1718" t="str">
        <f>"14:51:59.569"</f>
        <v>14:51:59.569</v>
      </c>
      <c r="U1718" t="str">
        <f t="shared" si="84"/>
        <v>A0F928</v>
      </c>
      <c r="V1718">
        <v>0</v>
      </c>
      <c r="W1718">
        <v>0</v>
      </c>
      <c r="X1718">
        <v>2</v>
      </c>
      <c r="Z1718">
        <v>0</v>
      </c>
      <c r="AA1718">
        <v>9</v>
      </c>
      <c r="AB1718">
        <v>3</v>
      </c>
      <c r="AC1718">
        <v>0</v>
      </c>
      <c r="AD1718">
        <v>10</v>
      </c>
      <c r="AE1718">
        <v>0</v>
      </c>
      <c r="AF1718">
        <v>3</v>
      </c>
      <c r="AG1718">
        <v>2</v>
      </c>
      <c r="AH1718">
        <v>1</v>
      </c>
      <c r="AI1718" t="s">
        <v>924</v>
      </c>
      <c r="AJ1718">
        <v>35.830342999999999</v>
      </c>
      <c r="AK1718" t="s">
        <v>157</v>
      </c>
      <c r="AL1718">
        <v>-84.012557999999999</v>
      </c>
      <c r="AM1718">
        <v>25</v>
      </c>
      <c r="AN1718">
        <v>1625</v>
      </c>
      <c r="AO1718" t="s">
        <v>118</v>
      </c>
      <c r="AP1718">
        <v>89</v>
      </c>
      <c r="AQ1718">
        <v>99</v>
      </c>
      <c r="AR1718">
        <v>-64</v>
      </c>
      <c r="AZ1718">
        <v>300</v>
      </c>
      <c r="BA1718">
        <v>1</v>
      </c>
      <c r="BB1718" t="str">
        <f t="shared" si="86"/>
        <v xml:space="preserve">N162AM  </v>
      </c>
      <c r="BC1718">
        <v>1</v>
      </c>
      <c r="BE1718">
        <v>0</v>
      </c>
      <c r="BF1718">
        <v>0</v>
      </c>
      <c r="BG1718">
        <v>0</v>
      </c>
      <c r="BH1718">
        <v>1875</v>
      </c>
      <c r="BI1718">
        <v>1</v>
      </c>
      <c r="BJ1718">
        <v>1</v>
      </c>
      <c r="BK1718">
        <v>1</v>
      </c>
      <c r="BL1718">
        <v>0</v>
      </c>
      <c r="BO1718">
        <v>0</v>
      </c>
      <c r="BP1718">
        <v>0</v>
      </c>
      <c r="BW1718" t="str">
        <f>"14:51:59.973"</f>
        <v>14:51:59.973</v>
      </c>
      <c r="CJ1718">
        <v>3</v>
      </c>
      <c r="CK1718">
        <v>2</v>
      </c>
      <c r="CL1718">
        <v>0</v>
      </c>
      <c r="CM1718">
        <v>2</v>
      </c>
      <c r="CN1718">
        <v>0</v>
      </c>
      <c r="CO1718">
        <v>7</v>
      </c>
      <c r="CP1718" t="s">
        <v>119</v>
      </c>
      <c r="CQ1718">
        <v>232</v>
      </c>
      <c r="CR1718">
        <v>2</v>
      </c>
      <c r="CW1718">
        <v>6887196</v>
      </c>
      <c r="CY1718">
        <v>0</v>
      </c>
      <c r="CZ1718">
        <v>0</v>
      </c>
      <c r="DA1718">
        <v>0</v>
      </c>
      <c r="DB1718">
        <v>0</v>
      </c>
      <c r="DC1718">
        <v>0</v>
      </c>
      <c r="DD1718">
        <v>1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>"12/16/2021 14:52:00.179"</f>
        <v>12/16/2021 14:52:00.179</v>
      </c>
      <c r="C1719" t="str">
        <f t="shared" si="85"/>
        <v>FFDFD3C0</v>
      </c>
      <c r="D1719" t="s">
        <v>113</v>
      </c>
      <c r="E1719">
        <v>8</v>
      </c>
      <c r="H1719">
        <v>176</v>
      </c>
      <c r="I1719" t="s">
        <v>114</v>
      </c>
      <c r="J1719" t="s">
        <v>115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>"14:51:59.969"</f>
        <v>14:51:59.969</v>
      </c>
      <c r="T1719" t="str">
        <f>"14:51:59.569"</f>
        <v>14:51:59.569</v>
      </c>
      <c r="U1719" t="str">
        <f t="shared" si="84"/>
        <v>A0F928</v>
      </c>
      <c r="V1719">
        <v>0</v>
      </c>
      <c r="W1719">
        <v>0</v>
      </c>
      <c r="X1719">
        <v>2</v>
      </c>
      <c r="Z1719">
        <v>0</v>
      </c>
      <c r="AA1719">
        <v>9</v>
      </c>
      <c r="AB1719">
        <v>3</v>
      </c>
      <c r="AC1719">
        <v>0</v>
      </c>
      <c r="AD1719">
        <v>10</v>
      </c>
      <c r="AE1719">
        <v>0</v>
      </c>
      <c r="AF1719">
        <v>3</v>
      </c>
      <c r="AG1719">
        <v>2</v>
      </c>
      <c r="AH1719">
        <v>1</v>
      </c>
      <c r="AI1719" t="s">
        <v>924</v>
      </c>
      <c r="AJ1719">
        <v>35.830342999999999</v>
      </c>
      <c r="AK1719" t="s">
        <v>157</v>
      </c>
      <c r="AL1719">
        <v>-84.012557999999999</v>
      </c>
      <c r="AM1719">
        <v>25</v>
      </c>
      <c r="AN1719">
        <v>1625</v>
      </c>
      <c r="AO1719" t="s">
        <v>118</v>
      </c>
      <c r="AP1719">
        <v>89</v>
      </c>
      <c r="AQ1719">
        <v>99</v>
      </c>
      <c r="AR1719">
        <v>-64</v>
      </c>
      <c r="AZ1719">
        <v>300</v>
      </c>
      <c r="BA1719">
        <v>1</v>
      </c>
      <c r="BB1719" t="str">
        <f t="shared" si="86"/>
        <v xml:space="preserve">N162AM  </v>
      </c>
      <c r="BC1719">
        <v>1</v>
      </c>
      <c r="BE1719">
        <v>0</v>
      </c>
      <c r="BF1719">
        <v>0</v>
      </c>
      <c r="BG1719">
        <v>0</v>
      </c>
      <c r="BH1719">
        <v>1875</v>
      </c>
      <c r="BI1719">
        <v>1</v>
      </c>
      <c r="BJ1719">
        <v>1</v>
      </c>
      <c r="BK1719">
        <v>1</v>
      </c>
      <c r="BL1719">
        <v>0</v>
      </c>
      <c r="BO1719">
        <v>0</v>
      </c>
      <c r="BP1719">
        <v>0</v>
      </c>
      <c r="BW1719" t="str">
        <f>"14:51:59.973"</f>
        <v>14:51:59.973</v>
      </c>
      <c r="CJ1719">
        <v>3</v>
      </c>
      <c r="CK1719">
        <v>2</v>
      </c>
      <c r="CL1719">
        <v>0</v>
      </c>
      <c r="CM1719">
        <v>2</v>
      </c>
      <c r="CN1719">
        <v>0</v>
      </c>
      <c r="CO1719">
        <v>7</v>
      </c>
      <c r="CP1719" t="s">
        <v>119</v>
      </c>
      <c r="CQ1719">
        <v>232</v>
      </c>
      <c r="CR1719">
        <v>2</v>
      </c>
      <c r="CW1719">
        <v>6887196</v>
      </c>
      <c r="CY1719">
        <v>0</v>
      </c>
      <c r="CZ1719">
        <v>0</v>
      </c>
      <c r="DA1719">
        <v>1</v>
      </c>
      <c r="DB1719">
        <v>0</v>
      </c>
      <c r="DC1719">
        <v>0</v>
      </c>
      <c r="DD1719">
        <v>1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>"12/16/2021 14:52:00.179"</f>
        <v>12/16/2021 14:52:00.179</v>
      </c>
      <c r="C1720" t="str">
        <f t="shared" si="85"/>
        <v>FFDFD3C0</v>
      </c>
      <c r="D1720" t="s">
        <v>124</v>
      </c>
      <c r="E1720">
        <v>10</v>
      </c>
      <c r="F1720">
        <v>1010</v>
      </c>
      <c r="G1720" t="s">
        <v>130</v>
      </c>
      <c r="J1720" t="s">
        <v>125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>"14:51:59.969"</f>
        <v>14:51:59.969</v>
      </c>
      <c r="T1720" t="str">
        <f>"14:51:59.569"</f>
        <v>14:51:59.569</v>
      </c>
      <c r="U1720" t="str">
        <f t="shared" si="84"/>
        <v>A0F928</v>
      </c>
      <c r="V1720">
        <v>0</v>
      </c>
      <c r="W1720">
        <v>0</v>
      </c>
      <c r="X1720">
        <v>2</v>
      </c>
      <c r="Z1720">
        <v>0</v>
      </c>
      <c r="AA1720">
        <v>9</v>
      </c>
      <c r="AB1720">
        <v>3</v>
      </c>
      <c r="AC1720">
        <v>0</v>
      </c>
      <c r="AD1720">
        <v>10</v>
      </c>
      <c r="AE1720">
        <v>0</v>
      </c>
      <c r="AF1720">
        <v>3</v>
      </c>
      <c r="AG1720">
        <v>2</v>
      </c>
      <c r="AH1720">
        <v>1</v>
      </c>
      <c r="AI1720" t="s">
        <v>924</v>
      </c>
      <c r="AJ1720">
        <v>35.830342999999999</v>
      </c>
      <c r="AK1720" t="s">
        <v>157</v>
      </c>
      <c r="AL1720">
        <v>-84.012557999999999</v>
      </c>
      <c r="AM1720">
        <v>25</v>
      </c>
      <c r="AN1720">
        <v>1625</v>
      </c>
      <c r="AO1720" t="s">
        <v>118</v>
      </c>
      <c r="AP1720">
        <v>89</v>
      </c>
      <c r="AQ1720">
        <v>99</v>
      </c>
      <c r="AR1720">
        <v>-64</v>
      </c>
      <c r="AZ1720">
        <v>300</v>
      </c>
      <c r="BA1720">
        <v>1</v>
      </c>
      <c r="BB1720" t="str">
        <f t="shared" si="86"/>
        <v xml:space="preserve">N162AM  </v>
      </c>
      <c r="BC1720">
        <v>1</v>
      </c>
      <c r="BE1720">
        <v>0</v>
      </c>
      <c r="BF1720">
        <v>0</v>
      </c>
      <c r="BG1720">
        <v>0</v>
      </c>
      <c r="BH1720">
        <v>1875</v>
      </c>
      <c r="BI1720">
        <v>1</v>
      </c>
      <c r="BJ1720">
        <v>1</v>
      </c>
      <c r="BK1720">
        <v>1</v>
      </c>
      <c r="BL1720">
        <v>0</v>
      </c>
      <c r="BO1720">
        <v>0</v>
      </c>
      <c r="BP1720">
        <v>0</v>
      </c>
      <c r="BW1720" t="str">
        <f>"14:51:59.973"</f>
        <v>14:51:59.973</v>
      </c>
      <c r="CJ1720">
        <v>3</v>
      </c>
      <c r="CK1720">
        <v>2</v>
      </c>
      <c r="CL1720">
        <v>0</v>
      </c>
      <c r="CM1720">
        <v>2</v>
      </c>
      <c r="CN1720">
        <v>0</v>
      </c>
      <c r="CO1720">
        <v>7</v>
      </c>
      <c r="CP1720" t="s">
        <v>119</v>
      </c>
      <c r="CQ1720">
        <v>232</v>
      </c>
      <c r="CR1720">
        <v>2</v>
      </c>
      <c r="CW1720">
        <v>6887196</v>
      </c>
      <c r="CY1720">
        <v>0</v>
      </c>
      <c r="CZ1720">
        <v>0</v>
      </c>
      <c r="DA1720">
        <v>1</v>
      </c>
      <c r="DB1720">
        <v>0</v>
      </c>
      <c r="DC1720">
        <v>0</v>
      </c>
      <c r="DD1720">
        <v>1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>"12/16/2021 14:52:00.179"</f>
        <v>12/16/2021 14:52:00.179</v>
      </c>
      <c r="C1721" t="str">
        <f t="shared" si="85"/>
        <v>FFDFD3C0</v>
      </c>
      <c r="D1721" t="s">
        <v>124</v>
      </c>
      <c r="E1721">
        <v>5</v>
      </c>
      <c r="F1721">
        <v>1005</v>
      </c>
      <c r="G1721" t="s">
        <v>114</v>
      </c>
      <c r="J1721" t="s">
        <v>125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"14:51:59.969"</f>
        <v>14:51:59.969</v>
      </c>
      <c r="T1721" t="str">
        <f>"14:51:59.569"</f>
        <v>14:51:59.569</v>
      </c>
      <c r="U1721" t="str">
        <f t="shared" si="84"/>
        <v>A0F928</v>
      </c>
      <c r="V1721">
        <v>0</v>
      </c>
      <c r="W1721">
        <v>0</v>
      </c>
      <c r="X1721">
        <v>2</v>
      </c>
      <c r="Z1721">
        <v>0</v>
      </c>
      <c r="AA1721">
        <v>9</v>
      </c>
      <c r="AB1721">
        <v>3</v>
      </c>
      <c r="AC1721">
        <v>0</v>
      </c>
      <c r="AD1721">
        <v>10</v>
      </c>
      <c r="AE1721">
        <v>0</v>
      </c>
      <c r="AF1721">
        <v>3</v>
      </c>
      <c r="AG1721">
        <v>2</v>
      </c>
      <c r="AH1721">
        <v>1</v>
      </c>
      <c r="AI1721" t="s">
        <v>924</v>
      </c>
      <c r="AJ1721">
        <v>35.830342999999999</v>
      </c>
      <c r="AK1721" t="s">
        <v>157</v>
      </c>
      <c r="AL1721">
        <v>-84.012557999999999</v>
      </c>
      <c r="AM1721">
        <v>25</v>
      </c>
      <c r="AN1721">
        <v>1625</v>
      </c>
      <c r="AO1721" t="s">
        <v>118</v>
      </c>
      <c r="AP1721">
        <v>89</v>
      </c>
      <c r="AQ1721">
        <v>99</v>
      </c>
      <c r="AR1721">
        <v>-64</v>
      </c>
      <c r="AZ1721">
        <v>300</v>
      </c>
      <c r="BA1721">
        <v>1</v>
      </c>
      <c r="BB1721" t="str">
        <f t="shared" si="86"/>
        <v xml:space="preserve">N162AM  </v>
      </c>
      <c r="BC1721">
        <v>1</v>
      </c>
      <c r="BE1721">
        <v>0</v>
      </c>
      <c r="BF1721">
        <v>0</v>
      </c>
      <c r="BG1721">
        <v>0</v>
      </c>
      <c r="BH1721">
        <v>1875</v>
      </c>
      <c r="BI1721">
        <v>1</v>
      </c>
      <c r="BJ1721">
        <v>1</v>
      </c>
      <c r="BK1721">
        <v>1</v>
      </c>
      <c r="BL1721">
        <v>0</v>
      </c>
      <c r="BO1721">
        <v>0</v>
      </c>
      <c r="BP1721">
        <v>0</v>
      </c>
      <c r="BW1721" t="str">
        <f>"14:51:59.973"</f>
        <v>14:51:59.973</v>
      </c>
      <c r="CJ1721">
        <v>3</v>
      </c>
      <c r="CK1721">
        <v>2</v>
      </c>
      <c r="CL1721">
        <v>0</v>
      </c>
      <c r="CM1721">
        <v>2</v>
      </c>
      <c r="CN1721">
        <v>0</v>
      </c>
      <c r="CO1721">
        <v>7</v>
      </c>
      <c r="CP1721" t="s">
        <v>119</v>
      </c>
      <c r="CQ1721">
        <v>232</v>
      </c>
      <c r="CR1721">
        <v>2</v>
      </c>
      <c r="CW1721">
        <v>6887196</v>
      </c>
      <c r="CY1721">
        <v>0</v>
      </c>
      <c r="CZ1721">
        <v>0</v>
      </c>
      <c r="DA1721">
        <v>1</v>
      </c>
      <c r="DB1721">
        <v>0</v>
      </c>
      <c r="DC1721">
        <v>0</v>
      </c>
      <c r="DD1721">
        <v>1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>"12/16/2021 14:52:01.085"</f>
        <v>12/16/2021 14:52:01.085</v>
      </c>
      <c r="C1722" t="str">
        <f t="shared" si="85"/>
        <v>FFDFD3C0</v>
      </c>
      <c r="D1722" t="s">
        <v>124</v>
      </c>
      <c r="E1722">
        <v>10</v>
      </c>
      <c r="F1722">
        <v>1010</v>
      </c>
      <c r="G1722" t="s">
        <v>130</v>
      </c>
      <c r="J1722" t="s">
        <v>125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"14:52:00.891"</f>
        <v>14:52:00.891</v>
      </c>
      <c r="T1722" t="str">
        <f>"14:52:00.491"</f>
        <v>14:52:00.491</v>
      </c>
      <c r="U1722" t="str">
        <f t="shared" si="84"/>
        <v>A0F928</v>
      </c>
      <c r="V1722">
        <v>0</v>
      </c>
      <c r="W1722">
        <v>0</v>
      </c>
      <c r="X1722">
        <v>2</v>
      </c>
      <c r="Z1722">
        <v>0</v>
      </c>
      <c r="AA1722">
        <v>9</v>
      </c>
      <c r="AB1722">
        <v>3</v>
      </c>
      <c r="AC1722">
        <v>0</v>
      </c>
      <c r="AD1722">
        <v>10</v>
      </c>
      <c r="AE1722">
        <v>0</v>
      </c>
      <c r="AF1722">
        <v>3</v>
      </c>
      <c r="AG1722">
        <v>2</v>
      </c>
      <c r="AH1722">
        <v>1</v>
      </c>
      <c r="AI1722" t="s">
        <v>925</v>
      </c>
      <c r="AJ1722">
        <v>35.830750000000002</v>
      </c>
      <c r="AK1722" t="s">
        <v>926</v>
      </c>
      <c r="AL1722">
        <v>-84.012107999999998</v>
      </c>
      <c r="AM1722">
        <v>25</v>
      </c>
      <c r="AN1722">
        <v>1625</v>
      </c>
      <c r="AO1722" t="s">
        <v>118</v>
      </c>
      <c r="AP1722">
        <v>89</v>
      </c>
      <c r="AQ1722">
        <v>98</v>
      </c>
      <c r="AR1722">
        <v>0</v>
      </c>
      <c r="AZ1722">
        <v>300</v>
      </c>
      <c r="BA1722">
        <v>1</v>
      </c>
      <c r="BB1722" t="str">
        <f t="shared" si="86"/>
        <v xml:space="preserve">N162AM  </v>
      </c>
      <c r="BC1722">
        <v>1</v>
      </c>
      <c r="BE1722">
        <v>0</v>
      </c>
      <c r="BF1722">
        <v>0</v>
      </c>
      <c r="BG1722">
        <v>0</v>
      </c>
      <c r="BH1722">
        <v>1875</v>
      </c>
      <c r="BI1722">
        <v>1</v>
      </c>
      <c r="BJ1722">
        <v>1</v>
      </c>
      <c r="BK1722">
        <v>1</v>
      </c>
      <c r="BL1722">
        <v>0</v>
      </c>
      <c r="BO1722">
        <v>0</v>
      </c>
      <c r="BP1722">
        <v>0</v>
      </c>
      <c r="BW1722" t="str">
        <f>"14:52:00.897"</f>
        <v>14:52:00.897</v>
      </c>
      <c r="CJ1722">
        <v>3</v>
      </c>
      <c r="CK1722">
        <v>2</v>
      </c>
      <c r="CL1722">
        <v>0</v>
      </c>
      <c r="CM1722">
        <v>2</v>
      </c>
      <c r="CN1722">
        <v>0</v>
      </c>
      <c r="CO1722">
        <v>7</v>
      </c>
      <c r="CP1722" t="s">
        <v>119</v>
      </c>
      <c r="CQ1722">
        <v>232</v>
      </c>
      <c r="CR1722">
        <v>1</v>
      </c>
      <c r="CW1722">
        <v>15680027</v>
      </c>
      <c r="CY1722">
        <v>0</v>
      </c>
      <c r="CZ1722">
        <v>0</v>
      </c>
      <c r="DA1722">
        <v>0</v>
      </c>
      <c r="DB1722">
        <v>0</v>
      </c>
      <c r="DC1722">
        <v>0</v>
      </c>
      <c r="DD1722">
        <v>1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>"12/16/2021 14:52:01.085"</f>
        <v>12/16/2021 14:52:01.085</v>
      </c>
      <c r="C1723" t="str">
        <f t="shared" si="85"/>
        <v>FFDFD3C0</v>
      </c>
      <c r="D1723" t="s">
        <v>113</v>
      </c>
      <c r="E1723">
        <v>8</v>
      </c>
      <c r="H1723">
        <v>176</v>
      </c>
      <c r="I1723" t="s">
        <v>114</v>
      </c>
      <c r="J1723" t="s">
        <v>115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"14:52:00.891"</f>
        <v>14:52:00.891</v>
      </c>
      <c r="T1723" t="str">
        <f>"14:52:00.491"</f>
        <v>14:52:00.491</v>
      </c>
      <c r="U1723" t="str">
        <f t="shared" si="84"/>
        <v>A0F928</v>
      </c>
      <c r="V1723">
        <v>0</v>
      </c>
      <c r="W1723">
        <v>0</v>
      </c>
      <c r="X1723">
        <v>2</v>
      </c>
      <c r="Z1723">
        <v>0</v>
      </c>
      <c r="AA1723">
        <v>9</v>
      </c>
      <c r="AB1723">
        <v>3</v>
      </c>
      <c r="AC1723">
        <v>0</v>
      </c>
      <c r="AD1723">
        <v>10</v>
      </c>
      <c r="AE1723">
        <v>0</v>
      </c>
      <c r="AF1723">
        <v>3</v>
      </c>
      <c r="AG1723">
        <v>2</v>
      </c>
      <c r="AH1723">
        <v>1</v>
      </c>
      <c r="AI1723" t="s">
        <v>925</v>
      </c>
      <c r="AJ1723">
        <v>35.830750000000002</v>
      </c>
      <c r="AK1723" t="s">
        <v>926</v>
      </c>
      <c r="AL1723">
        <v>-84.012107999999998</v>
      </c>
      <c r="AM1723">
        <v>25</v>
      </c>
      <c r="AN1723">
        <v>1625</v>
      </c>
      <c r="AO1723" t="s">
        <v>118</v>
      </c>
      <c r="AP1723">
        <v>89</v>
      </c>
      <c r="AQ1723">
        <v>98</v>
      </c>
      <c r="AR1723">
        <v>0</v>
      </c>
      <c r="AZ1723">
        <v>300</v>
      </c>
      <c r="BA1723">
        <v>1</v>
      </c>
      <c r="BB1723" t="str">
        <f t="shared" si="86"/>
        <v xml:space="preserve">N162AM  </v>
      </c>
      <c r="BC1723">
        <v>1</v>
      </c>
      <c r="BE1723">
        <v>0</v>
      </c>
      <c r="BF1723">
        <v>0</v>
      </c>
      <c r="BG1723">
        <v>0</v>
      </c>
      <c r="BH1723">
        <v>1875</v>
      </c>
      <c r="BI1723">
        <v>1</v>
      </c>
      <c r="BJ1723">
        <v>1</v>
      </c>
      <c r="BK1723">
        <v>1</v>
      </c>
      <c r="BL1723">
        <v>0</v>
      </c>
      <c r="BO1723">
        <v>0</v>
      </c>
      <c r="BP1723">
        <v>0</v>
      </c>
      <c r="BW1723" t="str">
        <f>"14:52:00.897"</f>
        <v>14:52:00.897</v>
      </c>
      <c r="CJ1723">
        <v>3</v>
      </c>
      <c r="CK1723">
        <v>2</v>
      </c>
      <c r="CL1723">
        <v>0</v>
      </c>
      <c r="CM1723">
        <v>2</v>
      </c>
      <c r="CN1723">
        <v>0</v>
      </c>
      <c r="CO1723">
        <v>7</v>
      </c>
      <c r="CP1723" t="s">
        <v>119</v>
      </c>
      <c r="CQ1723">
        <v>232</v>
      </c>
      <c r="CR1723">
        <v>1</v>
      </c>
      <c r="CW1723">
        <v>15680027</v>
      </c>
      <c r="CY1723">
        <v>0</v>
      </c>
      <c r="CZ1723">
        <v>0</v>
      </c>
      <c r="DA1723">
        <v>1</v>
      </c>
      <c r="DB1723">
        <v>0</v>
      </c>
      <c r="DC1723">
        <v>0</v>
      </c>
      <c r="DD1723">
        <v>1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>"12/16/2021 14:52:01.085"</f>
        <v>12/16/2021 14:52:01.085</v>
      </c>
      <c r="C1724" t="str">
        <f t="shared" si="85"/>
        <v>FFDFD3C0</v>
      </c>
      <c r="D1724" t="s">
        <v>124</v>
      </c>
      <c r="E1724">
        <v>5</v>
      </c>
      <c r="F1724">
        <v>1005</v>
      </c>
      <c r="G1724" t="s">
        <v>114</v>
      </c>
      <c r="J1724" t="s">
        <v>125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>"14:52:00.891"</f>
        <v>14:52:00.891</v>
      </c>
      <c r="T1724" t="str">
        <f>"14:52:00.491"</f>
        <v>14:52:00.491</v>
      </c>
      <c r="U1724" t="str">
        <f t="shared" si="84"/>
        <v>A0F928</v>
      </c>
      <c r="V1724">
        <v>0</v>
      </c>
      <c r="W1724">
        <v>0</v>
      </c>
      <c r="X1724">
        <v>2</v>
      </c>
      <c r="Z1724">
        <v>0</v>
      </c>
      <c r="AA1724">
        <v>9</v>
      </c>
      <c r="AB1724">
        <v>3</v>
      </c>
      <c r="AC1724">
        <v>0</v>
      </c>
      <c r="AD1724">
        <v>10</v>
      </c>
      <c r="AE1724">
        <v>0</v>
      </c>
      <c r="AF1724">
        <v>3</v>
      </c>
      <c r="AG1724">
        <v>2</v>
      </c>
      <c r="AH1724">
        <v>1</v>
      </c>
      <c r="AI1724" t="s">
        <v>925</v>
      </c>
      <c r="AJ1724">
        <v>35.830750000000002</v>
      </c>
      <c r="AK1724" t="s">
        <v>926</v>
      </c>
      <c r="AL1724">
        <v>-84.012107999999998</v>
      </c>
      <c r="AM1724">
        <v>25</v>
      </c>
      <c r="AN1724">
        <v>1625</v>
      </c>
      <c r="AO1724" t="s">
        <v>118</v>
      </c>
      <c r="AP1724">
        <v>89</v>
      </c>
      <c r="AQ1724">
        <v>98</v>
      </c>
      <c r="AR1724">
        <v>0</v>
      </c>
      <c r="AZ1724">
        <v>300</v>
      </c>
      <c r="BA1724">
        <v>1</v>
      </c>
      <c r="BB1724" t="str">
        <f t="shared" si="86"/>
        <v xml:space="preserve">N162AM  </v>
      </c>
      <c r="BC1724">
        <v>1</v>
      </c>
      <c r="BE1724">
        <v>0</v>
      </c>
      <c r="BF1724">
        <v>0</v>
      </c>
      <c r="BG1724">
        <v>0</v>
      </c>
      <c r="BH1724">
        <v>1875</v>
      </c>
      <c r="BI1724">
        <v>1</v>
      </c>
      <c r="BJ1724">
        <v>1</v>
      </c>
      <c r="BK1724">
        <v>1</v>
      </c>
      <c r="BL1724">
        <v>0</v>
      </c>
      <c r="BO1724">
        <v>0</v>
      </c>
      <c r="BP1724">
        <v>0</v>
      </c>
      <c r="BW1724" t="str">
        <f>"14:52:00.897"</f>
        <v>14:52:00.897</v>
      </c>
      <c r="CJ1724">
        <v>3</v>
      </c>
      <c r="CK1724">
        <v>2</v>
      </c>
      <c r="CL1724">
        <v>0</v>
      </c>
      <c r="CM1724">
        <v>2</v>
      </c>
      <c r="CN1724">
        <v>0</v>
      </c>
      <c r="CO1724">
        <v>7</v>
      </c>
      <c r="CP1724" t="s">
        <v>119</v>
      </c>
      <c r="CQ1724">
        <v>232</v>
      </c>
      <c r="CR1724">
        <v>1</v>
      </c>
      <c r="CW1724">
        <v>15680027</v>
      </c>
      <c r="CY1724">
        <v>0</v>
      </c>
      <c r="CZ1724">
        <v>0</v>
      </c>
      <c r="DA1724">
        <v>1</v>
      </c>
      <c r="DB1724">
        <v>0</v>
      </c>
      <c r="DC1724">
        <v>0</v>
      </c>
      <c r="DD1724">
        <v>1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>"12/16/2021 14:52:01.163"</f>
        <v>12/16/2021 14:52:01.163</v>
      </c>
      <c r="C1725" t="str">
        <f t="shared" si="85"/>
        <v>FFDFD3C0</v>
      </c>
      <c r="D1725" t="s">
        <v>133</v>
      </c>
      <c r="E1725">
        <v>44</v>
      </c>
      <c r="H1725">
        <v>131</v>
      </c>
      <c r="I1725" t="s">
        <v>134</v>
      </c>
      <c r="J1725" t="s">
        <v>135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"14:52:00.891"</f>
        <v>14:52:00.891</v>
      </c>
      <c r="T1725" t="str">
        <f>"14:52:00.491"</f>
        <v>14:52:00.491</v>
      </c>
      <c r="U1725" t="str">
        <f t="shared" si="84"/>
        <v>A0F928</v>
      </c>
      <c r="V1725">
        <v>0</v>
      </c>
      <c r="W1725">
        <v>0</v>
      </c>
      <c r="X1725">
        <v>2</v>
      </c>
      <c r="Z1725">
        <v>0</v>
      </c>
      <c r="AA1725">
        <v>9</v>
      </c>
      <c r="AB1725">
        <v>3</v>
      </c>
      <c r="AC1725">
        <v>0</v>
      </c>
      <c r="AD1725">
        <v>10</v>
      </c>
      <c r="AE1725">
        <v>0</v>
      </c>
      <c r="AF1725">
        <v>3</v>
      </c>
      <c r="AG1725">
        <v>2</v>
      </c>
      <c r="AH1725">
        <v>1</v>
      </c>
      <c r="AI1725" t="s">
        <v>925</v>
      </c>
      <c r="AJ1725">
        <v>35.830750000000002</v>
      </c>
      <c r="AK1725" t="s">
        <v>926</v>
      </c>
      <c r="AL1725">
        <v>-84.012107999999998</v>
      </c>
      <c r="AM1725">
        <v>25</v>
      </c>
      <c r="AN1725">
        <v>1625</v>
      </c>
      <c r="AO1725" t="s">
        <v>118</v>
      </c>
      <c r="AP1725">
        <v>89</v>
      </c>
      <c r="AQ1725">
        <v>98</v>
      </c>
      <c r="AR1725">
        <v>0</v>
      </c>
      <c r="AZ1725">
        <v>300</v>
      </c>
      <c r="BA1725">
        <v>1</v>
      </c>
      <c r="BB1725" t="str">
        <f t="shared" si="86"/>
        <v xml:space="preserve">N162AM  </v>
      </c>
      <c r="BC1725">
        <v>1</v>
      </c>
      <c r="BE1725">
        <v>0</v>
      </c>
      <c r="BF1725">
        <v>0</v>
      </c>
      <c r="BG1725">
        <v>0</v>
      </c>
      <c r="BH1725">
        <v>1875</v>
      </c>
      <c r="BI1725">
        <v>1</v>
      </c>
      <c r="BJ1725">
        <v>1</v>
      </c>
      <c r="BK1725">
        <v>1</v>
      </c>
      <c r="BL1725">
        <v>0</v>
      </c>
      <c r="BO1725">
        <v>0</v>
      </c>
      <c r="BP1725">
        <v>0</v>
      </c>
      <c r="BW1725" t="str">
        <f>"14:52:00.897"</f>
        <v>14:52:00.897</v>
      </c>
      <c r="CJ1725">
        <v>3</v>
      </c>
      <c r="CK1725">
        <v>2</v>
      </c>
      <c r="CL1725">
        <v>0</v>
      </c>
      <c r="CM1725">
        <v>2</v>
      </c>
      <c r="CN1725">
        <v>0</v>
      </c>
      <c r="CO1725">
        <v>7</v>
      </c>
      <c r="CP1725" t="s">
        <v>119</v>
      </c>
      <c r="CQ1725">
        <v>232</v>
      </c>
      <c r="CR1725">
        <v>1</v>
      </c>
      <c r="CW1725">
        <v>15680027</v>
      </c>
      <c r="CY1725">
        <v>0</v>
      </c>
      <c r="CZ1725">
        <v>0</v>
      </c>
      <c r="DA1725">
        <v>1</v>
      </c>
      <c r="DB1725">
        <v>0</v>
      </c>
      <c r="DC1725">
        <v>0</v>
      </c>
      <c r="DD1725">
        <v>1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>"12/16/2021 14:52:02.038"</f>
        <v>12/16/2021 14:52:02.038</v>
      </c>
      <c r="C1726" t="str">
        <f t="shared" si="85"/>
        <v>FFDFD3C0</v>
      </c>
      <c r="D1726" t="s">
        <v>133</v>
      </c>
      <c r="E1726">
        <v>44</v>
      </c>
      <c r="H1726">
        <v>131</v>
      </c>
      <c r="I1726" t="s">
        <v>134</v>
      </c>
      <c r="J1726" t="s">
        <v>135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>"14:52:01.844"</f>
        <v>14:52:01.844</v>
      </c>
      <c r="T1726" t="str">
        <f>"14:52:01.444"</f>
        <v>14:52:01.444</v>
      </c>
      <c r="U1726" t="str">
        <f t="shared" si="84"/>
        <v>A0F928</v>
      </c>
      <c r="V1726">
        <v>0</v>
      </c>
      <c r="W1726">
        <v>0</v>
      </c>
      <c r="X1726">
        <v>2</v>
      </c>
      <c r="Z1726">
        <v>0</v>
      </c>
      <c r="AA1726">
        <v>9</v>
      </c>
      <c r="AB1726">
        <v>3</v>
      </c>
      <c r="AC1726">
        <v>0</v>
      </c>
      <c r="AD1726">
        <v>10</v>
      </c>
      <c r="AE1726">
        <v>0</v>
      </c>
      <c r="AF1726">
        <v>3</v>
      </c>
      <c r="AG1726">
        <v>2</v>
      </c>
      <c r="AH1726">
        <v>1</v>
      </c>
      <c r="AI1726" t="s">
        <v>927</v>
      </c>
      <c r="AJ1726">
        <v>35.831136999999998</v>
      </c>
      <c r="AK1726" t="s">
        <v>928</v>
      </c>
      <c r="AL1726">
        <v>-84.011657</v>
      </c>
      <c r="AM1726">
        <v>25</v>
      </c>
      <c r="AN1726">
        <v>1625</v>
      </c>
      <c r="AO1726" t="s">
        <v>118</v>
      </c>
      <c r="AP1726">
        <v>90</v>
      </c>
      <c r="AQ1726">
        <v>96</v>
      </c>
      <c r="AR1726">
        <v>128</v>
      </c>
      <c r="AZ1726">
        <v>300</v>
      </c>
      <c r="BA1726">
        <v>1</v>
      </c>
      <c r="BB1726" t="str">
        <f t="shared" si="86"/>
        <v xml:space="preserve">N162AM  </v>
      </c>
      <c r="BC1726">
        <v>1</v>
      </c>
      <c r="BE1726">
        <v>0</v>
      </c>
      <c r="BF1726">
        <v>0</v>
      </c>
      <c r="BG1726">
        <v>0</v>
      </c>
      <c r="BH1726">
        <v>1875</v>
      </c>
      <c r="BI1726">
        <v>1</v>
      </c>
      <c r="BJ1726">
        <v>1</v>
      </c>
      <c r="BK1726">
        <v>1</v>
      </c>
      <c r="BL1726">
        <v>0</v>
      </c>
      <c r="BO1726">
        <v>0</v>
      </c>
      <c r="BP1726">
        <v>0</v>
      </c>
      <c r="BW1726" t="str">
        <f>"14:52:01.849"</f>
        <v>14:52:01.849</v>
      </c>
      <c r="CJ1726">
        <v>3</v>
      </c>
      <c r="CK1726">
        <v>2</v>
      </c>
      <c r="CL1726">
        <v>0</v>
      </c>
      <c r="CM1726">
        <v>2</v>
      </c>
      <c r="CN1726">
        <v>0</v>
      </c>
      <c r="CO1726">
        <v>7</v>
      </c>
      <c r="CP1726" t="s">
        <v>119</v>
      </c>
      <c r="CQ1726">
        <v>232</v>
      </c>
      <c r="CR1726">
        <v>1</v>
      </c>
      <c r="CW1726">
        <v>15681450</v>
      </c>
      <c r="CY1726">
        <v>1</v>
      </c>
      <c r="CZ1726">
        <v>0</v>
      </c>
      <c r="DA1726">
        <v>0</v>
      </c>
      <c r="DB1726">
        <v>0</v>
      </c>
      <c r="DC1726">
        <v>0</v>
      </c>
      <c r="DD1726">
        <v>1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>"12/16/2021 14:52:02.038"</f>
        <v>12/16/2021 14:52:02.038</v>
      </c>
      <c r="C1727" t="str">
        <f t="shared" si="85"/>
        <v>FFDFD3C0</v>
      </c>
      <c r="D1727" t="s">
        <v>124</v>
      </c>
      <c r="E1727">
        <v>10</v>
      </c>
      <c r="F1727">
        <v>1010</v>
      </c>
      <c r="G1727" t="s">
        <v>130</v>
      </c>
      <c r="J1727" t="s">
        <v>125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"14:52:01.844"</f>
        <v>14:52:01.844</v>
      </c>
      <c r="T1727" t="str">
        <f>"14:52:01.444"</f>
        <v>14:52:01.444</v>
      </c>
      <c r="U1727" t="str">
        <f t="shared" si="84"/>
        <v>A0F928</v>
      </c>
      <c r="V1727">
        <v>0</v>
      </c>
      <c r="W1727">
        <v>0</v>
      </c>
      <c r="X1727">
        <v>2</v>
      </c>
      <c r="Z1727">
        <v>0</v>
      </c>
      <c r="AA1727">
        <v>9</v>
      </c>
      <c r="AB1727">
        <v>3</v>
      </c>
      <c r="AC1727">
        <v>0</v>
      </c>
      <c r="AD1727">
        <v>10</v>
      </c>
      <c r="AE1727">
        <v>0</v>
      </c>
      <c r="AF1727">
        <v>3</v>
      </c>
      <c r="AG1727">
        <v>2</v>
      </c>
      <c r="AH1727">
        <v>1</v>
      </c>
      <c r="AI1727" t="s">
        <v>927</v>
      </c>
      <c r="AJ1727">
        <v>35.831136999999998</v>
      </c>
      <c r="AK1727" t="s">
        <v>928</v>
      </c>
      <c r="AL1727">
        <v>-84.011657</v>
      </c>
      <c r="AM1727">
        <v>25</v>
      </c>
      <c r="AN1727">
        <v>1625</v>
      </c>
      <c r="AO1727" t="s">
        <v>118</v>
      </c>
      <c r="AP1727">
        <v>90</v>
      </c>
      <c r="AQ1727">
        <v>96</v>
      </c>
      <c r="AR1727">
        <v>128</v>
      </c>
      <c r="AZ1727">
        <v>300</v>
      </c>
      <c r="BA1727">
        <v>1</v>
      </c>
      <c r="BB1727" t="str">
        <f t="shared" si="86"/>
        <v xml:space="preserve">N162AM  </v>
      </c>
      <c r="BC1727">
        <v>1</v>
      </c>
      <c r="BE1727">
        <v>0</v>
      </c>
      <c r="BF1727">
        <v>0</v>
      </c>
      <c r="BG1727">
        <v>0</v>
      </c>
      <c r="BH1727">
        <v>1875</v>
      </c>
      <c r="BI1727">
        <v>1</v>
      </c>
      <c r="BJ1727">
        <v>1</v>
      </c>
      <c r="BK1727">
        <v>1</v>
      </c>
      <c r="BL1727">
        <v>0</v>
      </c>
      <c r="BO1727">
        <v>0</v>
      </c>
      <c r="BP1727">
        <v>0</v>
      </c>
      <c r="BW1727" t="str">
        <f>"14:52:01.849"</f>
        <v>14:52:01.849</v>
      </c>
      <c r="CJ1727">
        <v>3</v>
      </c>
      <c r="CK1727">
        <v>2</v>
      </c>
      <c r="CL1727">
        <v>0</v>
      </c>
      <c r="CM1727">
        <v>2</v>
      </c>
      <c r="CN1727">
        <v>0</v>
      </c>
      <c r="CO1727">
        <v>7</v>
      </c>
      <c r="CP1727" t="s">
        <v>119</v>
      </c>
      <c r="CQ1727">
        <v>232</v>
      </c>
      <c r="CR1727">
        <v>1</v>
      </c>
      <c r="CW1727">
        <v>15681450</v>
      </c>
      <c r="CY1727">
        <v>1</v>
      </c>
      <c r="CZ1727">
        <v>0</v>
      </c>
      <c r="DA1727">
        <v>1</v>
      </c>
      <c r="DB1727">
        <v>0</v>
      </c>
      <c r="DC1727">
        <v>0</v>
      </c>
      <c r="DD1727">
        <v>1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>"12/16/2021 14:52:02.085"</f>
        <v>12/16/2021 14:52:02.085</v>
      </c>
      <c r="C1728" t="str">
        <f t="shared" si="85"/>
        <v>FFDFD3C0</v>
      </c>
      <c r="D1728" t="s">
        <v>124</v>
      </c>
      <c r="E1728">
        <v>5</v>
      </c>
      <c r="F1728">
        <v>1005</v>
      </c>
      <c r="G1728" t="s">
        <v>114</v>
      </c>
      <c r="J1728" t="s">
        <v>125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>"14:52:01.844"</f>
        <v>14:52:01.844</v>
      </c>
      <c r="T1728" t="str">
        <f>"14:52:01.444"</f>
        <v>14:52:01.444</v>
      </c>
      <c r="U1728" t="str">
        <f t="shared" si="84"/>
        <v>A0F928</v>
      </c>
      <c r="V1728">
        <v>0</v>
      </c>
      <c r="W1728">
        <v>0</v>
      </c>
      <c r="X1728">
        <v>2</v>
      </c>
      <c r="Z1728">
        <v>0</v>
      </c>
      <c r="AA1728">
        <v>9</v>
      </c>
      <c r="AB1728">
        <v>3</v>
      </c>
      <c r="AC1728">
        <v>0</v>
      </c>
      <c r="AD1728">
        <v>10</v>
      </c>
      <c r="AE1728">
        <v>0</v>
      </c>
      <c r="AF1728">
        <v>3</v>
      </c>
      <c r="AG1728">
        <v>2</v>
      </c>
      <c r="AH1728">
        <v>1</v>
      </c>
      <c r="AI1728" t="s">
        <v>927</v>
      </c>
      <c r="AJ1728">
        <v>35.831136999999998</v>
      </c>
      <c r="AK1728" t="s">
        <v>928</v>
      </c>
      <c r="AL1728">
        <v>-84.011657</v>
      </c>
      <c r="AM1728">
        <v>25</v>
      </c>
      <c r="AN1728">
        <v>1625</v>
      </c>
      <c r="AO1728" t="s">
        <v>118</v>
      </c>
      <c r="AP1728">
        <v>90</v>
      </c>
      <c r="AQ1728">
        <v>96</v>
      </c>
      <c r="AR1728">
        <v>128</v>
      </c>
      <c r="AZ1728">
        <v>300</v>
      </c>
      <c r="BA1728">
        <v>1</v>
      </c>
      <c r="BB1728" t="str">
        <f t="shared" si="86"/>
        <v xml:space="preserve">N162AM  </v>
      </c>
      <c r="BC1728">
        <v>1</v>
      </c>
      <c r="BE1728">
        <v>0</v>
      </c>
      <c r="BF1728">
        <v>0</v>
      </c>
      <c r="BG1728">
        <v>0</v>
      </c>
      <c r="BH1728">
        <v>1875</v>
      </c>
      <c r="BI1728">
        <v>1</v>
      </c>
      <c r="BJ1728">
        <v>1</v>
      </c>
      <c r="BK1728">
        <v>1</v>
      </c>
      <c r="BL1728">
        <v>0</v>
      </c>
      <c r="BO1728">
        <v>0</v>
      </c>
      <c r="BP1728">
        <v>0</v>
      </c>
      <c r="BW1728" t="str">
        <f>"14:52:01.849"</f>
        <v>14:52:01.849</v>
      </c>
      <c r="CJ1728">
        <v>3</v>
      </c>
      <c r="CK1728">
        <v>2</v>
      </c>
      <c r="CL1728">
        <v>0</v>
      </c>
      <c r="CM1728">
        <v>2</v>
      </c>
      <c r="CN1728">
        <v>0</v>
      </c>
      <c r="CO1728">
        <v>7</v>
      </c>
      <c r="CP1728" t="s">
        <v>119</v>
      </c>
      <c r="CQ1728">
        <v>232</v>
      </c>
      <c r="CR1728">
        <v>1</v>
      </c>
      <c r="CW1728">
        <v>15681450</v>
      </c>
      <c r="CY1728">
        <v>1</v>
      </c>
      <c r="CZ1728">
        <v>0</v>
      </c>
      <c r="DA1728">
        <v>1</v>
      </c>
      <c r="DB1728">
        <v>0</v>
      </c>
      <c r="DC1728">
        <v>0</v>
      </c>
      <c r="DD1728">
        <v>1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>"12/16/2021 14:52:02.101"</f>
        <v>12/16/2021 14:52:02.101</v>
      </c>
      <c r="C1729" t="str">
        <f t="shared" si="85"/>
        <v>FFDFD3C0</v>
      </c>
      <c r="D1729" t="s">
        <v>113</v>
      </c>
      <c r="E1729">
        <v>8</v>
      </c>
      <c r="H1729">
        <v>176</v>
      </c>
      <c r="I1729" t="s">
        <v>114</v>
      </c>
      <c r="J1729" t="s">
        <v>115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>"14:52:01.844"</f>
        <v>14:52:01.844</v>
      </c>
      <c r="T1729" t="str">
        <f>"14:52:01.444"</f>
        <v>14:52:01.444</v>
      </c>
      <c r="U1729" t="str">
        <f t="shared" si="84"/>
        <v>A0F928</v>
      </c>
      <c r="V1729">
        <v>0</v>
      </c>
      <c r="W1729">
        <v>0</v>
      </c>
      <c r="X1729">
        <v>2</v>
      </c>
      <c r="Z1729">
        <v>0</v>
      </c>
      <c r="AA1729">
        <v>9</v>
      </c>
      <c r="AB1729">
        <v>3</v>
      </c>
      <c r="AC1729">
        <v>0</v>
      </c>
      <c r="AD1729">
        <v>10</v>
      </c>
      <c r="AE1729">
        <v>0</v>
      </c>
      <c r="AF1729">
        <v>3</v>
      </c>
      <c r="AG1729">
        <v>2</v>
      </c>
      <c r="AH1729">
        <v>1</v>
      </c>
      <c r="AI1729" t="s">
        <v>927</v>
      </c>
      <c r="AJ1729">
        <v>35.831136999999998</v>
      </c>
      <c r="AK1729" t="s">
        <v>928</v>
      </c>
      <c r="AL1729">
        <v>-84.011657</v>
      </c>
      <c r="AM1729">
        <v>25</v>
      </c>
      <c r="AN1729">
        <v>1625</v>
      </c>
      <c r="AO1729" t="s">
        <v>118</v>
      </c>
      <c r="AP1729">
        <v>90</v>
      </c>
      <c r="AQ1729">
        <v>96</v>
      </c>
      <c r="AR1729">
        <v>128</v>
      </c>
      <c r="AZ1729">
        <v>300</v>
      </c>
      <c r="BA1729">
        <v>1</v>
      </c>
      <c r="BB1729" t="str">
        <f t="shared" si="86"/>
        <v xml:space="preserve">N162AM  </v>
      </c>
      <c r="BC1729">
        <v>1</v>
      </c>
      <c r="BE1729">
        <v>0</v>
      </c>
      <c r="BF1729">
        <v>0</v>
      </c>
      <c r="BG1729">
        <v>0</v>
      </c>
      <c r="BH1729">
        <v>1875</v>
      </c>
      <c r="BI1729">
        <v>1</v>
      </c>
      <c r="BJ1729">
        <v>1</v>
      </c>
      <c r="BK1729">
        <v>1</v>
      </c>
      <c r="BL1729">
        <v>0</v>
      </c>
      <c r="BO1729">
        <v>0</v>
      </c>
      <c r="BP1729">
        <v>0</v>
      </c>
      <c r="BW1729" t="str">
        <f>"14:52:01.849"</f>
        <v>14:52:01.849</v>
      </c>
      <c r="CJ1729">
        <v>3</v>
      </c>
      <c r="CK1729">
        <v>2</v>
      </c>
      <c r="CL1729">
        <v>0</v>
      </c>
      <c r="CM1729">
        <v>2</v>
      </c>
      <c r="CN1729">
        <v>0</v>
      </c>
      <c r="CO1729">
        <v>7</v>
      </c>
      <c r="CP1729" t="s">
        <v>119</v>
      </c>
      <c r="CQ1729">
        <v>232</v>
      </c>
      <c r="CR1729">
        <v>1</v>
      </c>
      <c r="CW1729">
        <v>15681450</v>
      </c>
      <c r="CY1729">
        <v>1</v>
      </c>
      <c r="CZ1729">
        <v>0</v>
      </c>
      <c r="DA1729">
        <v>1</v>
      </c>
      <c r="DB1729">
        <v>0</v>
      </c>
      <c r="DC1729">
        <v>0</v>
      </c>
      <c r="DD1729">
        <v>1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>"12/16/2021 14:52:03.523"</f>
        <v>12/16/2021 14:52:03.523</v>
      </c>
      <c r="C1730" t="str">
        <f t="shared" si="85"/>
        <v>FFDFD3C0</v>
      </c>
      <c r="D1730" t="s">
        <v>124</v>
      </c>
      <c r="E1730">
        <v>10</v>
      </c>
      <c r="F1730">
        <v>1010</v>
      </c>
      <c r="G1730" t="s">
        <v>130</v>
      </c>
      <c r="J1730" t="s">
        <v>125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>"14:52:03.289"</f>
        <v>14:52:03.289</v>
      </c>
      <c r="T1730" t="str">
        <f>"14:52:02.789"</f>
        <v>14:52:02.789</v>
      </c>
      <c r="U1730" t="str">
        <f t="shared" ref="U1730:U1793" si="87">"A0F928"</f>
        <v>A0F928</v>
      </c>
      <c r="V1730">
        <v>0</v>
      </c>
      <c r="W1730">
        <v>0</v>
      </c>
      <c r="X1730">
        <v>2</v>
      </c>
      <c r="Z1730">
        <v>0</v>
      </c>
      <c r="AA1730">
        <v>9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2</v>
      </c>
      <c r="AH1730">
        <v>1</v>
      </c>
      <c r="AI1730" t="s">
        <v>929</v>
      </c>
      <c r="AJ1730">
        <v>35.831758999999998</v>
      </c>
      <c r="AK1730" t="s">
        <v>930</v>
      </c>
      <c r="AL1730">
        <v>-84.010863000000001</v>
      </c>
      <c r="AM1730">
        <v>25</v>
      </c>
      <c r="AN1730">
        <v>1625</v>
      </c>
      <c r="AO1730" t="s">
        <v>118</v>
      </c>
      <c r="AP1730">
        <v>91</v>
      </c>
      <c r="AQ1730">
        <v>94</v>
      </c>
      <c r="AR1730">
        <v>128</v>
      </c>
      <c r="AZ1730">
        <v>300</v>
      </c>
      <c r="BA1730">
        <v>1</v>
      </c>
      <c r="BB1730" t="str">
        <f t="shared" si="86"/>
        <v xml:space="preserve">N162AM  </v>
      </c>
      <c r="BC1730">
        <v>1</v>
      </c>
      <c r="BE1730">
        <v>0</v>
      </c>
      <c r="BF1730">
        <v>0</v>
      </c>
      <c r="BG1730">
        <v>0</v>
      </c>
      <c r="BH1730">
        <v>1875</v>
      </c>
      <c r="BI1730">
        <v>1</v>
      </c>
      <c r="BJ1730">
        <v>1</v>
      </c>
      <c r="BK1730">
        <v>1</v>
      </c>
      <c r="BL1730">
        <v>0</v>
      </c>
      <c r="BO1730">
        <v>0</v>
      </c>
      <c r="BP1730">
        <v>0</v>
      </c>
      <c r="BW1730" t="str">
        <f>"14:52:03.294"</f>
        <v>14:52:03.294</v>
      </c>
      <c r="CJ1730">
        <v>3</v>
      </c>
      <c r="CK1730">
        <v>2</v>
      </c>
      <c r="CL1730">
        <v>0</v>
      </c>
      <c r="CM1730">
        <v>2</v>
      </c>
      <c r="CN1730">
        <v>0</v>
      </c>
      <c r="CO1730">
        <v>7</v>
      </c>
      <c r="CP1730" t="s">
        <v>119</v>
      </c>
      <c r="CQ1730">
        <v>232</v>
      </c>
      <c r="CR1730">
        <v>2</v>
      </c>
      <c r="CW1730">
        <v>6892526</v>
      </c>
      <c r="CY1730">
        <v>1</v>
      </c>
      <c r="CZ1730">
        <v>0</v>
      </c>
      <c r="DA1730">
        <v>0</v>
      </c>
      <c r="DB1730">
        <v>0</v>
      </c>
      <c r="DC1730">
        <v>0</v>
      </c>
      <c r="DD1730">
        <v>1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>"12/16/2021 14:52:03.523"</f>
        <v>12/16/2021 14:52:03.523</v>
      </c>
      <c r="C1731" t="str">
        <f t="shared" si="85"/>
        <v>FFDFD3C0</v>
      </c>
      <c r="D1731" t="s">
        <v>124</v>
      </c>
      <c r="E1731">
        <v>5</v>
      </c>
      <c r="F1731">
        <v>1005</v>
      </c>
      <c r="G1731" t="s">
        <v>114</v>
      </c>
      <c r="J1731" t="s">
        <v>125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>"14:52:03.289"</f>
        <v>14:52:03.289</v>
      </c>
      <c r="T1731" t="str">
        <f>"14:52:02.789"</f>
        <v>14:52:02.789</v>
      </c>
      <c r="U1731" t="str">
        <f t="shared" si="87"/>
        <v>A0F928</v>
      </c>
      <c r="V1731">
        <v>0</v>
      </c>
      <c r="W1731">
        <v>0</v>
      </c>
      <c r="X1731">
        <v>2</v>
      </c>
      <c r="Z1731">
        <v>0</v>
      </c>
      <c r="AA1731">
        <v>9</v>
      </c>
      <c r="AB1731">
        <v>3</v>
      </c>
      <c r="AC1731">
        <v>0</v>
      </c>
      <c r="AD1731">
        <v>10</v>
      </c>
      <c r="AE1731">
        <v>0</v>
      </c>
      <c r="AF1731">
        <v>3</v>
      </c>
      <c r="AG1731">
        <v>2</v>
      </c>
      <c r="AH1731">
        <v>1</v>
      </c>
      <c r="AI1731" t="s">
        <v>929</v>
      </c>
      <c r="AJ1731">
        <v>35.831758999999998</v>
      </c>
      <c r="AK1731" t="s">
        <v>930</v>
      </c>
      <c r="AL1731">
        <v>-84.010863000000001</v>
      </c>
      <c r="AM1731">
        <v>25</v>
      </c>
      <c r="AN1731">
        <v>1625</v>
      </c>
      <c r="AO1731" t="s">
        <v>118</v>
      </c>
      <c r="AP1731">
        <v>91</v>
      </c>
      <c r="AQ1731">
        <v>94</v>
      </c>
      <c r="AR1731">
        <v>128</v>
      </c>
      <c r="AZ1731">
        <v>300</v>
      </c>
      <c r="BA1731">
        <v>1</v>
      </c>
      <c r="BB1731" t="str">
        <f t="shared" si="86"/>
        <v xml:space="preserve">N162AM  </v>
      </c>
      <c r="BC1731">
        <v>1</v>
      </c>
      <c r="BE1731">
        <v>0</v>
      </c>
      <c r="BF1731">
        <v>0</v>
      </c>
      <c r="BG1731">
        <v>0</v>
      </c>
      <c r="BH1731">
        <v>1875</v>
      </c>
      <c r="BI1731">
        <v>1</v>
      </c>
      <c r="BJ1731">
        <v>1</v>
      </c>
      <c r="BK1731">
        <v>1</v>
      </c>
      <c r="BL1731">
        <v>0</v>
      </c>
      <c r="BO1731">
        <v>0</v>
      </c>
      <c r="BP1731">
        <v>0</v>
      </c>
      <c r="BW1731" t="str">
        <f>"14:52:03.294"</f>
        <v>14:52:03.294</v>
      </c>
      <c r="CJ1731">
        <v>3</v>
      </c>
      <c r="CK1731">
        <v>2</v>
      </c>
      <c r="CL1731">
        <v>0</v>
      </c>
      <c r="CM1731">
        <v>2</v>
      </c>
      <c r="CN1731">
        <v>0</v>
      </c>
      <c r="CO1731">
        <v>7</v>
      </c>
      <c r="CP1731" t="s">
        <v>119</v>
      </c>
      <c r="CQ1731">
        <v>232</v>
      </c>
      <c r="CR1731">
        <v>2</v>
      </c>
      <c r="CW1731">
        <v>6892526</v>
      </c>
      <c r="CY1731">
        <v>1</v>
      </c>
      <c r="CZ1731">
        <v>0</v>
      </c>
      <c r="DA1731">
        <v>1</v>
      </c>
      <c r="DB1731">
        <v>0</v>
      </c>
      <c r="DC1731">
        <v>0</v>
      </c>
      <c r="DD1731">
        <v>1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>"12/16/2021 14:52:03.523"</f>
        <v>12/16/2021 14:52:03.523</v>
      </c>
      <c r="C1732" t="str">
        <f t="shared" si="85"/>
        <v>FFDFD3C0</v>
      </c>
      <c r="D1732" t="s">
        <v>133</v>
      </c>
      <c r="E1732">
        <v>44</v>
      </c>
      <c r="H1732">
        <v>131</v>
      </c>
      <c r="I1732" t="s">
        <v>134</v>
      </c>
      <c r="J1732" t="s">
        <v>135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"14:52:03.289"</f>
        <v>14:52:03.289</v>
      </c>
      <c r="T1732" t="str">
        <f>"14:52:02.789"</f>
        <v>14:52:02.789</v>
      </c>
      <c r="U1732" t="str">
        <f t="shared" si="87"/>
        <v>A0F928</v>
      </c>
      <c r="V1732">
        <v>0</v>
      </c>
      <c r="W1732">
        <v>0</v>
      </c>
      <c r="X1732">
        <v>2</v>
      </c>
      <c r="Z1732">
        <v>0</v>
      </c>
      <c r="AA1732">
        <v>9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2</v>
      </c>
      <c r="AH1732">
        <v>1</v>
      </c>
      <c r="AI1732" t="s">
        <v>929</v>
      </c>
      <c r="AJ1732">
        <v>35.831758999999998</v>
      </c>
      <c r="AK1732" t="s">
        <v>930</v>
      </c>
      <c r="AL1732">
        <v>-84.010863000000001</v>
      </c>
      <c r="AM1732">
        <v>25</v>
      </c>
      <c r="AN1732">
        <v>1625</v>
      </c>
      <c r="AO1732" t="s">
        <v>118</v>
      </c>
      <c r="AP1732">
        <v>91</v>
      </c>
      <c r="AQ1732">
        <v>94</v>
      </c>
      <c r="AR1732">
        <v>128</v>
      </c>
      <c r="AZ1732">
        <v>300</v>
      </c>
      <c r="BA1732">
        <v>1</v>
      </c>
      <c r="BB1732" t="str">
        <f t="shared" si="86"/>
        <v xml:space="preserve">N162AM  </v>
      </c>
      <c r="BC1732">
        <v>1</v>
      </c>
      <c r="BE1732">
        <v>0</v>
      </c>
      <c r="BF1732">
        <v>0</v>
      </c>
      <c r="BG1732">
        <v>0</v>
      </c>
      <c r="BH1732">
        <v>1875</v>
      </c>
      <c r="BI1732">
        <v>1</v>
      </c>
      <c r="BJ1732">
        <v>1</v>
      </c>
      <c r="BK1732">
        <v>1</v>
      </c>
      <c r="BL1732">
        <v>0</v>
      </c>
      <c r="BO1732">
        <v>0</v>
      </c>
      <c r="BP1732">
        <v>0</v>
      </c>
      <c r="BW1732" t="str">
        <f>"14:52:03.294"</f>
        <v>14:52:03.294</v>
      </c>
      <c r="CJ1732">
        <v>3</v>
      </c>
      <c r="CK1732">
        <v>2</v>
      </c>
      <c r="CL1732">
        <v>0</v>
      </c>
      <c r="CM1732">
        <v>2</v>
      </c>
      <c r="CN1732">
        <v>0</v>
      </c>
      <c r="CO1732">
        <v>7</v>
      </c>
      <c r="CP1732" t="s">
        <v>119</v>
      </c>
      <c r="CQ1732">
        <v>232</v>
      </c>
      <c r="CR1732">
        <v>2</v>
      </c>
      <c r="CW1732">
        <v>6892526</v>
      </c>
      <c r="CY1732">
        <v>1</v>
      </c>
      <c r="CZ1732">
        <v>0</v>
      </c>
      <c r="DA1732">
        <v>1</v>
      </c>
      <c r="DB1732">
        <v>0</v>
      </c>
      <c r="DC1732">
        <v>0</v>
      </c>
      <c r="DD1732">
        <v>1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>"12/16/2021 14:52:03.523"</f>
        <v>12/16/2021 14:52:03.523</v>
      </c>
      <c r="C1733" t="str">
        <f t="shared" si="85"/>
        <v>FFDFD3C0</v>
      </c>
      <c r="D1733" t="s">
        <v>113</v>
      </c>
      <c r="E1733">
        <v>8</v>
      </c>
      <c r="H1733">
        <v>176</v>
      </c>
      <c r="I1733" t="s">
        <v>114</v>
      </c>
      <c r="J1733" t="s">
        <v>115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>"14:52:03.289"</f>
        <v>14:52:03.289</v>
      </c>
      <c r="T1733" t="str">
        <f>"14:52:02.789"</f>
        <v>14:52:02.789</v>
      </c>
      <c r="U1733" t="str">
        <f t="shared" si="87"/>
        <v>A0F928</v>
      </c>
      <c r="V1733">
        <v>0</v>
      </c>
      <c r="W1733">
        <v>0</v>
      </c>
      <c r="X1733">
        <v>2</v>
      </c>
      <c r="Z1733">
        <v>0</v>
      </c>
      <c r="AA1733">
        <v>9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2</v>
      </c>
      <c r="AH1733">
        <v>1</v>
      </c>
      <c r="AI1733" t="s">
        <v>929</v>
      </c>
      <c r="AJ1733">
        <v>35.831758999999998</v>
      </c>
      <c r="AK1733" t="s">
        <v>930</v>
      </c>
      <c r="AL1733">
        <v>-84.010863000000001</v>
      </c>
      <c r="AM1733">
        <v>25</v>
      </c>
      <c r="AN1733">
        <v>1625</v>
      </c>
      <c r="AO1733" t="s">
        <v>118</v>
      </c>
      <c r="AP1733">
        <v>91</v>
      </c>
      <c r="AQ1733">
        <v>94</v>
      </c>
      <c r="AR1733">
        <v>128</v>
      </c>
      <c r="AZ1733">
        <v>300</v>
      </c>
      <c r="BA1733">
        <v>1</v>
      </c>
      <c r="BB1733" t="str">
        <f t="shared" si="86"/>
        <v xml:space="preserve">N162AM  </v>
      </c>
      <c r="BC1733">
        <v>1</v>
      </c>
      <c r="BE1733">
        <v>0</v>
      </c>
      <c r="BF1733">
        <v>0</v>
      </c>
      <c r="BG1733">
        <v>0</v>
      </c>
      <c r="BH1733">
        <v>1875</v>
      </c>
      <c r="BI1733">
        <v>1</v>
      </c>
      <c r="BJ1733">
        <v>1</v>
      </c>
      <c r="BK1733">
        <v>1</v>
      </c>
      <c r="BL1733">
        <v>0</v>
      </c>
      <c r="BO1733">
        <v>0</v>
      </c>
      <c r="BP1733">
        <v>0</v>
      </c>
      <c r="BW1733" t="str">
        <f>"14:52:03.294"</f>
        <v>14:52:03.294</v>
      </c>
      <c r="CJ1733">
        <v>3</v>
      </c>
      <c r="CK1733">
        <v>2</v>
      </c>
      <c r="CL1733">
        <v>0</v>
      </c>
      <c r="CM1733">
        <v>2</v>
      </c>
      <c r="CN1733">
        <v>0</v>
      </c>
      <c r="CO1733">
        <v>7</v>
      </c>
      <c r="CP1733" t="s">
        <v>119</v>
      </c>
      <c r="CQ1733">
        <v>232</v>
      </c>
      <c r="CR1733">
        <v>2</v>
      </c>
      <c r="CW1733">
        <v>6892526</v>
      </c>
      <c r="CY1733">
        <v>1</v>
      </c>
      <c r="CZ1733">
        <v>0</v>
      </c>
      <c r="DA1733">
        <v>1</v>
      </c>
      <c r="DB1733">
        <v>0</v>
      </c>
      <c r="DC1733">
        <v>0</v>
      </c>
      <c r="DD1733">
        <v>1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>"12/16/2021 14:52:04.476"</f>
        <v>12/16/2021 14:52:04.476</v>
      </c>
      <c r="C1734" t="str">
        <f t="shared" si="85"/>
        <v>FFDFD3C0</v>
      </c>
      <c r="D1734" t="s">
        <v>124</v>
      </c>
      <c r="E1734">
        <v>5</v>
      </c>
      <c r="F1734">
        <v>1005</v>
      </c>
      <c r="G1734" t="s">
        <v>114</v>
      </c>
      <c r="J1734" t="s">
        <v>125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>"14:52:04.258"</f>
        <v>14:52:04.258</v>
      </c>
      <c r="T1734" t="str">
        <f>"14:52:03.858"</f>
        <v>14:52:03.858</v>
      </c>
      <c r="U1734" t="str">
        <f t="shared" si="87"/>
        <v>A0F928</v>
      </c>
      <c r="V1734">
        <v>0</v>
      </c>
      <c r="W1734">
        <v>0</v>
      </c>
      <c r="X1734">
        <v>2</v>
      </c>
      <c r="Z1734">
        <v>0</v>
      </c>
      <c r="AA1734">
        <v>9</v>
      </c>
      <c r="AB1734">
        <v>3</v>
      </c>
      <c r="AC1734">
        <v>0</v>
      </c>
      <c r="AD1734">
        <v>10</v>
      </c>
      <c r="AE1734">
        <v>0</v>
      </c>
      <c r="AF1734">
        <v>3</v>
      </c>
      <c r="AG1734">
        <v>2</v>
      </c>
      <c r="AH1734">
        <v>1</v>
      </c>
      <c r="AI1734" t="s">
        <v>931</v>
      </c>
      <c r="AJ1734">
        <v>35.832231</v>
      </c>
      <c r="AK1734" t="s">
        <v>932</v>
      </c>
      <c r="AL1734">
        <v>-84.010347999999993</v>
      </c>
      <c r="AM1734">
        <v>25</v>
      </c>
      <c r="AN1734">
        <v>1625</v>
      </c>
      <c r="AO1734" t="s">
        <v>118</v>
      </c>
      <c r="AP1734">
        <v>91</v>
      </c>
      <c r="AQ1734">
        <v>92</v>
      </c>
      <c r="AR1734">
        <v>128</v>
      </c>
      <c r="AZ1734">
        <v>300</v>
      </c>
      <c r="BA1734">
        <v>1</v>
      </c>
      <c r="BB1734" t="str">
        <f t="shared" si="86"/>
        <v xml:space="preserve">N162AM  </v>
      </c>
      <c r="BC1734">
        <v>1</v>
      </c>
      <c r="BE1734">
        <v>0</v>
      </c>
      <c r="BF1734">
        <v>0</v>
      </c>
      <c r="BG1734">
        <v>0</v>
      </c>
      <c r="BH1734">
        <v>1875</v>
      </c>
      <c r="BI1734">
        <v>1</v>
      </c>
      <c r="BJ1734">
        <v>1</v>
      </c>
      <c r="BK1734">
        <v>1</v>
      </c>
      <c r="BL1734">
        <v>0</v>
      </c>
      <c r="BO1734">
        <v>0</v>
      </c>
      <c r="BP1734">
        <v>0</v>
      </c>
      <c r="BW1734" t="str">
        <f>"14:52:04.261"</f>
        <v>14:52:04.261</v>
      </c>
      <c r="CJ1734">
        <v>3</v>
      </c>
      <c r="CK1734">
        <v>2</v>
      </c>
      <c r="CL1734">
        <v>0</v>
      </c>
      <c r="CM1734">
        <v>2</v>
      </c>
      <c r="CN1734">
        <v>0</v>
      </c>
      <c r="CO1734">
        <v>7</v>
      </c>
      <c r="CP1734" t="s">
        <v>119</v>
      </c>
      <c r="CQ1734">
        <v>232</v>
      </c>
      <c r="CR1734">
        <v>1</v>
      </c>
      <c r="CW1734">
        <v>15685091</v>
      </c>
      <c r="CY1734">
        <v>1</v>
      </c>
      <c r="CZ1734">
        <v>0</v>
      </c>
      <c r="DA1734">
        <v>0</v>
      </c>
      <c r="DB1734">
        <v>0</v>
      </c>
      <c r="DC1734">
        <v>0</v>
      </c>
      <c r="DD1734">
        <v>1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>"12/16/2021 14:52:04.492"</f>
        <v>12/16/2021 14:52:04.492</v>
      </c>
      <c r="C1735" t="str">
        <f t="shared" si="85"/>
        <v>FFDFD3C0</v>
      </c>
      <c r="D1735" t="s">
        <v>133</v>
      </c>
      <c r="E1735">
        <v>44</v>
      </c>
      <c r="H1735">
        <v>131</v>
      </c>
      <c r="I1735" t="s">
        <v>134</v>
      </c>
      <c r="J1735" t="s">
        <v>135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>"14:52:04.258"</f>
        <v>14:52:04.258</v>
      </c>
      <c r="T1735" t="str">
        <f>"14:52:03.858"</f>
        <v>14:52:03.858</v>
      </c>
      <c r="U1735" t="str">
        <f t="shared" si="87"/>
        <v>A0F928</v>
      </c>
      <c r="V1735">
        <v>0</v>
      </c>
      <c r="W1735">
        <v>0</v>
      </c>
      <c r="X1735">
        <v>2</v>
      </c>
      <c r="Z1735">
        <v>0</v>
      </c>
      <c r="AA1735">
        <v>9</v>
      </c>
      <c r="AB1735">
        <v>3</v>
      </c>
      <c r="AC1735">
        <v>0</v>
      </c>
      <c r="AD1735">
        <v>10</v>
      </c>
      <c r="AE1735">
        <v>0</v>
      </c>
      <c r="AF1735">
        <v>3</v>
      </c>
      <c r="AG1735">
        <v>2</v>
      </c>
      <c r="AH1735">
        <v>1</v>
      </c>
      <c r="AI1735" t="s">
        <v>931</v>
      </c>
      <c r="AJ1735">
        <v>35.832231</v>
      </c>
      <c r="AK1735" t="s">
        <v>932</v>
      </c>
      <c r="AL1735">
        <v>-84.010347999999993</v>
      </c>
      <c r="AM1735">
        <v>25</v>
      </c>
      <c r="AN1735">
        <v>1625</v>
      </c>
      <c r="AO1735" t="s">
        <v>118</v>
      </c>
      <c r="AP1735">
        <v>91</v>
      </c>
      <c r="AQ1735">
        <v>92</v>
      </c>
      <c r="AR1735">
        <v>128</v>
      </c>
      <c r="AZ1735">
        <v>300</v>
      </c>
      <c r="BA1735">
        <v>1</v>
      </c>
      <c r="BB1735" t="str">
        <f t="shared" si="86"/>
        <v xml:space="preserve">N162AM  </v>
      </c>
      <c r="BC1735">
        <v>1</v>
      </c>
      <c r="BE1735">
        <v>0</v>
      </c>
      <c r="BF1735">
        <v>0</v>
      </c>
      <c r="BG1735">
        <v>0</v>
      </c>
      <c r="BH1735">
        <v>1875</v>
      </c>
      <c r="BI1735">
        <v>1</v>
      </c>
      <c r="BJ1735">
        <v>1</v>
      </c>
      <c r="BK1735">
        <v>1</v>
      </c>
      <c r="BL1735">
        <v>0</v>
      </c>
      <c r="BO1735">
        <v>0</v>
      </c>
      <c r="BP1735">
        <v>0</v>
      </c>
      <c r="BW1735" t="str">
        <f>"14:52:04.261"</f>
        <v>14:52:04.261</v>
      </c>
      <c r="CJ1735">
        <v>3</v>
      </c>
      <c r="CK1735">
        <v>2</v>
      </c>
      <c r="CL1735">
        <v>0</v>
      </c>
      <c r="CM1735">
        <v>2</v>
      </c>
      <c r="CN1735">
        <v>0</v>
      </c>
      <c r="CO1735">
        <v>7</v>
      </c>
      <c r="CP1735" t="s">
        <v>119</v>
      </c>
      <c r="CQ1735">
        <v>232</v>
      </c>
      <c r="CR1735">
        <v>1</v>
      </c>
      <c r="CW1735">
        <v>15685091</v>
      </c>
      <c r="CY1735">
        <v>1</v>
      </c>
      <c r="CZ1735">
        <v>0</v>
      </c>
      <c r="DA1735">
        <v>1</v>
      </c>
      <c r="DB1735">
        <v>0</v>
      </c>
      <c r="DC1735">
        <v>0</v>
      </c>
      <c r="DD1735">
        <v>1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3">
      <c r="A1736" t="str">
        <f>"12/16/2021 14:52:04.492"</f>
        <v>12/16/2021 14:52:04.492</v>
      </c>
      <c r="C1736" t="str">
        <f t="shared" si="85"/>
        <v>FFDFD3C0</v>
      </c>
      <c r="D1736" t="s">
        <v>113</v>
      </c>
      <c r="E1736">
        <v>8</v>
      </c>
      <c r="H1736">
        <v>176</v>
      </c>
      <c r="I1736" t="s">
        <v>114</v>
      </c>
      <c r="J1736" t="s">
        <v>115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>"14:52:04.258"</f>
        <v>14:52:04.258</v>
      </c>
      <c r="T1736" t="str">
        <f>"14:52:03.858"</f>
        <v>14:52:03.858</v>
      </c>
      <c r="U1736" t="str">
        <f t="shared" si="87"/>
        <v>A0F928</v>
      </c>
      <c r="V1736">
        <v>0</v>
      </c>
      <c r="W1736">
        <v>0</v>
      </c>
      <c r="X1736">
        <v>2</v>
      </c>
      <c r="Z1736">
        <v>0</v>
      </c>
      <c r="AA1736">
        <v>9</v>
      </c>
      <c r="AB1736">
        <v>3</v>
      </c>
      <c r="AC1736">
        <v>0</v>
      </c>
      <c r="AD1736">
        <v>10</v>
      </c>
      <c r="AE1736">
        <v>0</v>
      </c>
      <c r="AF1736">
        <v>3</v>
      </c>
      <c r="AG1736">
        <v>2</v>
      </c>
      <c r="AH1736">
        <v>1</v>
      </c>
      <c r="AI1736" t="s">
        <v>931</v>
      </c>
      <c r="AJ1736">
        <v>35.832231</v>
      </c>
      <c r="AK1736" t="s">
        <v>932</v>
      </c>
      <c r="AL1736">
        <v>-84.010347999999993</v>
      </c>
      <c r="AM1736">
        <v>25</v>
      </c>
      <c r="AN1736">
        <v>1625</v>
      </c>
      <c r="AO1736" t="s">
        <v>118</v>
      </c>
      <c r="AP1736">
        <v>91</v>
      </c>
      <c r="AQ1736">
        <v>92</v>
      </c>
      <c r="AR1736">
        <v>128</v>
      </c>
      <c r="AZ1736">
        <v>300</v>
      </c>
      <c r="BA1736">
        <v>1</v>
      </c>
      <c r="BB1736" t="str">
        <f t="shared" si="86"/>
        <v xml:space="preserve">N162AM  </v>
      </c>
      <c r="BC1736">
        <v>1</v>
      </c>
      <c r="BE1736">
        <v>0</v>
      </c>
      <c r="BF1736">
        <v>0</v>
      </c>
      <c r="BG1736">
        <v>0</v>
      </c>
      <c r="BH1736">
        <v>1875</v>
      </c>
      <c r="BI1736">
        <v>1</v>
      </c>
      <c r="BJ1736">
        <v>1</v>
      </c>
      <c r="BK1736">
        <v>1</v>
      </c>
      <c r="BL1736">
        <v>0</v>
      </c>
      <c r="BO1736">
        <v>0</v>
      </c>
      <c r="BP1736">
        <v>0</v>
      </c>
      <c r="BW1736" t="str">
        <f>"14:52:04.261"</f>
        <v>14:52:04.261</v>
      </c>
      <c r="CJ1736">
        <v>3</v>
      </c>
      <c r="CK1736">
        <v>2</v>
      </c>
      <c r="CL1736">
        <v>0</v>
      </c>
      <c r="CM1736">
        <v>2</v>
      </c>
      <c r="CN1736">
        <v>0</v>
      </c>
      <c r="CO1736">
        <v>7</v>
      </c>
      <c r="CP1736" t="s">
        <v>119</v>
      </c>
      <c r="CQ1736">
        <v>232</v>
      </c>
      <c r="CR1736">
        <v>1</v>
      </c>
      <c r="CW1736">
        <v>15685091</v>
      </c>
      <c r="CY1736">
        <v>1</v>
      </c>
      <c r="CZ1736">
        <v>0</v>
      </c>
      <c r="DA1736">
        <v>1</v>
      </c>
      <c r="DB1736">
        <v>0</v>
      </c>
      <c r="DC1736">
        <v>0</v>
      </c>
      <c r="DD1736">
        <v>1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3">
      <c r="A1737" t="str">
        <f>"12/16/2021 14:52:04.492"</f>
        <v>12/16/2021 14:52:04.492</v>
      </c>
      <c r="C1737" t="str">
        <f t="shared" si="85"/>
        <v>FFDFD3C0</v>
      </c>
      <c r="D1737" t="s">
        <v>124</v>
      </c>
      <c r="E1737">
        <v>10</v>
      </c>
      <c r="F1737">
        <v>1010</v>
      </c>
      <c r="G1737" t="s">
        <v>130</v>
      </c>
      <c r="J1737" t="s">
        <v>125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>"14:52:04.258"</f>
        <v>14:52:04.258</v>
      </c>
      <c r="T1737" t="str">
        <f>"14:52:03.858"</f>
        <v>14:52:03.858</v>
      </c>
      <c r="U1737" t="str">
        <f t="shared" si="87"/>
        <v>A0F928</v>
      </c>
      <c r="V1737">
        <v>0</v>
      </c>
      <c r="W1737">
        <v>0</v>
      </c>
      <c r="X1737">
        <v>2</v>
      </c>
      <c r="Z1737">
        <v>0</v>
      </c>
      <c r="AA1737">
        <v>9</v>
      </c>
      <c r="AB1737">
        <v>3</v>
      </c>
      <c r="AC1737">
        <v>0</v>
      </c>
      <c r="AD1737">
        <v>10</v>
      </c>
      <c r="AE1737">
        <v>0</v>
      </c>
      <c r="AF1737">
        <v>3</v>
      </c>
      <c r="AG1737">
        <v>2</v>
      </c>
      <c r="AH1737">
        <v>1</v>
      </c>
      <c r="AI1737" t="s">
        <v>931</v>
      </c>
      <c r="AJ1737">
        <v>35.832231</v>
      </c>
      <c r="AK1737" t="s">
        <v>932</v>
      </c>
      <c r="AL1737">
        <v>-84.010347999999993</v>
      </c>
      <c r="AM1737">
        <v>25</v>
      </c>
      <c r="AN1737">
        <v>1625</v>
      </c>
      <c r="AO1737" t="s">
        <v>118</v>
      </c>
      <c r="AP1737">
        <v>91</v>
      </c>
      <c r="AQ1737">
        <v>92</v>
      </c>
      <c r="AR1737">
        <v>128</v>
      </c>
      <c r="AZ1737">
        <v>300</v>
      </c>
      <c r="BA1737">
        <v>1</v>
      </c>
      <c r="BB1737" t="str">
        <f t="shared" si="86"/>
        <v xml:space="preserve">N162AM  </v>
      </c>
      <c r="BC1737">
        <v>1</v>
      </c>
      <c r="BE1737">
        <v>0</v>
      </c>
      <c r="BF1737">
        <v>0</v>
      </c>
      <c r="BG1737">
        <v>0</v>
      </c>
      <c r="BH1737">
        <v>1875</v>
      </c>
      <c r="BI1737">
        <v>1</v>
      </c>
      <c r="BJ1737">
        <v>1</v>
      </c>
      <c r="BK1737">
        <v>1</v>
      </c>
      <c r="BL1737">
        <v>0</v>
      </c>
      <c r="BO1737">
        <v>0</v>
      </c>
      <c r="BP1737">
        <v>0</v>
      </c>
      <c r="BW1737" t="str">
        <f>"14:52:04.261"</f>
        <v>14:52:04.261</v>
      </c>
      <c r="CJ1737">
        <v>3</v>
      </c>
      <c r="CK1737">
        <v>2</v>
      </c>
      <c r="CL1737">
        <v>0</v>
      </c>
      <c r="CM1737">
        <v>2</v>
      </c>
      <c r="CN1737">
        <v>0</v>
      </c>
      <c r="CO1737">
        <v>7</v>
      </c>
      <c r="CP1737" t="s">
        <v>119</v>
      </c>
      <c r="CQ1737">
        <v>232</v>
      </c>
      <c r="CR1737">
        <v>1</v>
      </c>
      <c r="CW1737">
        <v>15685091</v>
      </c>
      <c r="CY1737">
        <v>1</v>
      </c>
      <c r="CZ1737">
        <v>0</v>
      </c>
      <c r="DA1737">
        <v>1</v>
      </c>
      <c r="DB1737">
        <v>0</v>
      </c>
      <c r="DC1737">
        <v>0</v>
      </c>
      <c r="DD1737">
        <v>1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3">
      <c r="A1738" t="str">
        <f>"12/16/2021 14:52:05.476"</f>
        <v>12/16/2021 14:52:05.476</v>
      </c>
      <c r="C1738" t="str">
        <f t="shared" si="85"/>
        <v>FFDFD3C0</v>
      </c>
      <c r="D1738" t="s">
        <v>124</v>
      </c>
      <c r="E1738">
        <v>5</v>
      </c>
      <c r="F1738">
        <v>1005</v>
      </c>
      <c r="G1738" t="s">
        <v>114</v>
      </c>
      <c r="J1738" t="s">
        <v>125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>"14:52:05.281"</f>
        <v>14:52:05.281</v>
      </c>
      <c r="T1738" t="str">
        <f>"14:52:04.881"</f>
        <v>14:52:04.881</v>
      </c>
      <c r="U1738" t="str">
        <f t="shared" si="87"/>
        <v>A0F928</v>
      </c>
      <c r="V1738">
        <v>0</v>
      </c>
      <c r="W1738">
        <v>0</v>
      </c>
      <c r="X1738">
        <v>2</v>
      </c>
      <c r="Z1738">
        <v>0</v>
      </c>
      <c r="AA1738">
        <v>9</v>
      </c>
      <c r="AB1738">
        <v>3</v>
      </c>
      <c r="AC1738">
        <v>0</v>
      </c>
      <c r="AD1738">
        <v>10</v>
      </c>
      <c r="AE1738">
        <v>0</v>
      </c>
      <c r="AF1738">
        <v>3</v>
      </c>
      <c r="AG1738">
        <v>2</v>
      </c>
      <c r="AH1738">
        <v>1</v>
      </c>
      <c r="AI1738" t="s">
        <v>677</v>
      </c>
      <c r="AJ1738">
        <v>35.832616999999999</v>
      </c>
      <c r="AK1738" t="s">
        <v>933</v>
      </c>
      <c r="AL1738">
        <v>-84.009811999999997</v>
      </c>
      <c r="AM1738">
        <v>25</v>
      </c>
      <c r="AN1738">
        <v>1625</v>
      </c>
      <c r="AO1738" t="s">
        <v>118</v>
      </c>
      <c r="AP1738">
        <v>92</v>
      </c>
      <c r="AQ1738">
        <v>91</v>
      </c>
      <c r="AR1738">
        <v>64</v>
      </c>
      <c r="AZ1738">
        <v>300</v>
      </c>
      <c r="BA1738">
        <v>1</v>
      </c>
      <c r="BB1738" t="str">
        <f t="shared" si="86"/>
        <v xml:space="preserve">N162AM  </v>
      </c>
      <c r="BC1738">
        <v>1</v>
      </c>
      <c r="BE1738">
        <v>0</v>
      </c>
      <c r="BF1738">
        <v>0</v>
      </c>
      <c r="BG1738">
        <v>0</v>
      </c>
      <c r="BH1738">
        <v>1875</v>
      </c>
      <c r="BI1738">
        <v>1</v>
      </c>
      <c r="BJ1738">
        <v>1</v>
      </c>
      <c r="BK1738">
        <v>1</v>
      </c>
      <c r="BL1738">
        <v>0</v>
      </c>
      <c r="BO1738">
        <v>0</v>
      </c>
      <c r="BP1738">
        <v>0</v>
      </c>
      <c r="BW1738" t="str">
        <f>"14:52:05.285"</f>
        <v>14:52:05.285</v>
      </c>
      <c r="CJ1738">
        <v>3</v>
      </c>
      <c r="CK1738">
        <v>2</v>
      </c>
      <c r="CL1738">
        <v>0</v>
      </c>
      <c r="CM1738">
        <v>2</v>
      </c>
      <c r="CN1738">
        <v>0</v>
      </c>
      <c r="CO1738">
        <v>7</v>
      </c>
      <c r="CP1738" t="s">
        <v>119</v>
      </c>
      <c r="CQ1738">
        <v>232</v>
      </c>
      <c r="CR1738">
        <v>2</v>
      </c>
      <c r="CW1738">
        <v>6895585</v>
      </c>
      <c r="CY1738">
        <v>1</v>
      </c>
      <c r="CZ1738">
        <v>0</v>
      </c>
      <c r="DA1738">
        <v>0</v>
      </c>
      <c r="DB1738">
        <v>0</v>
      </c>
      <c r="DC1738">
        <v>0</v>
      </c>
      <c r="DD1738">
        <v>1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3">
      <c r="A1739" t="str">
        <f>"12/16/2021 14:52:05.476"</f>
        <v>12/16/2021 14:52:05.476</v>
      </c>
      <c r="C1739" t="str">
        <f t="shared" si="85"/>
        <v>FFDFD3C0</v>
      </c>
      <c r="D1739" t="s">
        <v>133</v>
      </c>
      <c r="E1739">
        <v>44</v>
      </c>
      <c r="H1739">
        <v>131</v>
      </c>
      <c r="I1739" t="s">
        <v>134</v>
      </c>
      <c r="J1739" t="s">
        <v>135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>"14:52:05.281"</f>
        <v>14:52:05.281</v>
      </c>
      <c r="T1739" t="str">
        <f>"14:52:04.881"</f>
        <v>14:52:04.881</v>
      </c>
      <c r="U1739" t="str">
        <f t="shared" si="87"/>
        <v>A0F928</v>
      </c>
      <c r="V1739">
        <v>0</v>
      </c>
      <c r="W1739">
        <v>0</v>
      </c>
      <c r="X1739">
        <v>2</v>
      </c>
      <c r="Z1739">
        <v>0</v>
      </c>
      <c r="AA1739">
        <v>9</v>
      </c>
      <c r="AB1739">
        <v>3</v>
      </c>
      <c r="AC1739">
        <v>0</v>
      </c>
      <c r="AD1739">
        <v>10</v>
      </c>
      <c r="AE1739">
        <v>0</v>
      </c>
      <c r="AF1739">
        <v>3</v>
      </c>
      <c r="AG1739">
        <v>2</v>
      </c>
      <c r="AH1739">
        <v>1</v>
      </c>
      <c r="AI1739" t="s">
        <v>677</v>
      </c>
      <c r="AJ1739">
        <v>35.832616999999999</v>
      </c>
      <c r="AK1739" t="s">
        <v>933</v>
      </c>
      <c r="AL1739">
        <v>-84.009811999999997</v>
      </c>
      <c r="AM1739">
        <v>25</v>
      </c>
      <c r="AN1739">
        <v>1625</v>
      </c>
      <c r="AO1739" t="s">
        <v>118</v>
      </c>
      <c r="AP1739">
        <v>92</v>
      </c>
      <c r="AQ1739">
        <v>91</v>
      </c>
      <c r="AR1739">
        <v>64</v>
      </c>
      <c r="AZ1739">
        <v>300</v>
      </c>
      <c r="BA1739">
        <v>1</v>
      </c>
      <c r="BB1739" t="str">
        <f t="shared" si="86"/>
        <v xml:space="preserve">N162AM  </v>
      </c>
      <c r="BC1739">
        <v>1</v>
      </c>
      <c r="BE1739">
        <v>0</v>
      </c>
      <c r="BF1739">
        <v>0</v>
      </c>
      <c r="BG1739">
        <v>0</v>
      </c>
      <c r="BH1739">
        <v>1875</v>
      </c>
      <c r="BI1739">
        <v>1</v>
      </c>
      <c r="BJ1739">
        <v>1</v>
      </c>
      <c r="BK1739">
        <v>1</v>
      </c>
      <c r="BL1739">
        <v>0</v>
      </c>
      <c r="BO1739">
        <v>0</v>
      </c>
      <c r="BP1739">
        <v>0</v>
      </c>
      <c r="BW1739" t="str">
        <f>"14:52:05.285"</f>
        <v>14:52:05.285</v>
      </c>
      <c r="CJ1739">
        <v>3</v>
      </c>
      <c r="CK1739">
        <v>2</v>
      </c>
      <c r="CL1739">
        <v>0</v>
      </c>
      <c r="CM1739">
        <v>2</v>
      </c>
      <c r="CN1739">
        <v>0</v>
      </c>
      <c r="CO1739">
        <v>7</v>
      </c>
      <c r="CP1739" t="s">
        <v>119</v>
      </c>
      <c r="CQ1739">
        <v>232</v>
      </c>
      <c r="CR1739">
        <v>2</v>
      </c>
      <c r="CW1739">
        <v>6895585</v>
      </c>
      <c r="CY1739">
        <v>1</v>
      </c>
      <c r="CZ1739">
        <v>0</v>
      </c>
      <c r="DA1739">
        <v>1</v>
      </c>
      <c r="DB1739">
        <v>0</v>
      </c>
      <c r="DC1739">
        <v>0</v>
      </c>
      <c r="DD1739">
        <v>1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>"12/16/2021 14:52:05.492"</f>
        <v>12/16/2021 14:52:05.492</v>
      </c>
      <c r="C1740" t="str">
        <f t="shared" si="85"/>
        <v>FFDFD3C0</v>
      </c>
      <c r="D1740" t="s">
        <v>113</v>
      </c>
      <c r="E1740">
        <v>8</v>
      </c>
      <c r="H1740">
        <v>176</v>
      </c>
      <c r="I1740" t="s">
        <v>114</v>
      </c>
      <c r="J1740" t="s">
        <v>115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>"14:52:05.281"</f>
        <v>14:52:05.281</v>
      </c>
      <c r="T1740" t="str">
        <f>"14:52:04.881"</f>
        <v>14:52:04.881</v>
      </c>
      <c r="U1740" t="str">
        <f t="shared" si="87"/>
        <v>A0F928</v>
      </c>
      <c r="V1740">
        <v>0</v>
      </c>
      <c r="W1740">
        <v>0</v>
      </c>
      <c r="X1740">
        <v>2</v>
      </c>
      <c r="Z1740">
        <v>0</v>
      </c>
      <c r="AA1740">
        <v>9</v>
      </c>
      <c r="AB1740">
        <v>3</v>
      </c>
      <c r="AC1740">
        <v>0</v>
      </c>
      <c r="AD1740">
        <v>10</v>
      </c>
      <c r="AE1740">
        <v>0</v>
      </c>
      <c r="AF1740">
        <v>3</v>
      </c>
      <c r="AG1740">
        <v>2</v>
      </c>
      <c r="AH1740">
        <v>1</v>
      </c>
      <c r="AI1740" t="s">
        <v>677</v>
      </c>
      <c r="AJ1740">
        <v>35.832616999999999</v>
      </c>
      <c r="AK1740" t="s">
        <v>933</v>
      </c>
      <c r="AL1740">
        <v>-84.009811999999997</v>
      </c>
      <c r="AM1740">
        <v>25</v>
      </c>
      <c r="AN1740">
        <v>1625</v>
      </c>
      <c r="AO1740" t="s">
        <v>118</v>
      </c>
      <c r="AP1740">
        <v>92</v>
      </c>
      <c r="AQ1740">
        <v>91</v>
      </c>
      <c r="AR1740">
        <v>64</v>
      </c>
      <c r="AZ1740">
        <v>300</v>
      </c>
      <c r="BA1740">
        <v>1</v>
      </c>
      <c r="BB1740" t="str">
        <f t="shared" si="86"/>
        <v xml:space="preserve">N162AM  </v>
      </c>
      <c r="BC1740">
        <v>1</v>
      </c>
      <c r="BE1740">
        <v>0</v>
      </c>
      <c r="BF1740">
        <v>0</v>
      </c>
      <c r="BG1740">
        <v>0</v>
      </c>
      <c r="BH1740">
        <v>1875</v>
      </c>
      <c r="BI1740">
        <v>1</v>
      </c>
      <c r="BJ1740">
        <v>1</v>
      </c>
      <c r="BK1740">
        <v>1</v>
      </c>
      <c r="BL1740">
        <v>0</v>
      </c>
      <c r="BO1740">
        <v>0</v>
      </c>
      <c r="BP1740">
        <v>0</v>
      </c>
      <c r="BW1740" t="str">
        <f>"14:52:05.285"</f>
        <v>14:52:05.285</v>
      </c>
      <c r="CJ1740">
        <v>3</v>
      </c>
      <c r="CK1740">
        <v>2</v>
      </c>
      <c r="CL1740">
        <v>0</v>
      </c>
      <c r="CM1740">
        <v>2</v>
      </c>
      <c r="CN1740">
        <v>0</v>
      </c>
      <c r="CO1740">
        <v>7</v>
      </c>
      <c r="CP1740" t="s">
        <v>119</v>
      </c>
      <c r="CQ1740">
        <v>232</v>
      </c>
      <c r="CR1740">
        <v>2</v>
      </c>
      <c r="CW1740">
        <v>6895585</v>
      </c>
      <c r="CY1740">
        <v>1</v>
      </c>
      <c r="CZ1740">
        <v>0</v>
      </c>
      <c r="DA1740">
        <v>1</v>
      </c>
      <c r="DB1740">
        <v>0</v>
      </c>
      <c r="DC1740">
        <v>0</v>
      </c>
      <c r="DD1740">
        <v>1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>"12/16/2021 14:52:05.507"</f>
        <v>12/16/2021 14:52:05.507</v>
      </c>
      <c r="C1741" t="str">
        <f t="shared" si="85"/>
        <v>FFDFD3C0</v>
      </c>
      <c r="D1741" t="s">
        <v>124</v>
      </c>
      <c r="E1741">
        <v>10</v>
      </c>
      <c r="F1741">
        <v>1010</v>
      </c>
      <c r="G1741" t="s">
        <v>130</v>
      </c>
      <c r="J1741" t="s">
        <v>125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>"14:52:05.281"</f>
        <v>14:52:05.281</v>
      </c>
      <c r="T1741" t="str">
        <f>"14:52:04.881"</f>
        <v>14:52:04.881</v>
      </c>
      <c r="U1741" t="str">
        <f t="shared" si="87"/>
        <v>A0F928</v>
      </c>
      <c r="V1741">
        <v>0</v>
      </c>
      <c r="W1741">
        <v>0</v>
      </c>
      <c r="X1741">
        <v>2</v>
      </c>
      <c r="Z1741">
        <v>0</v>
      </c>
      <c r="AA1741">
        <v>9</v>
      </c>
      <c r="AB1741">
        <v>3</v>
      </c>
      <c r="AC1741">
        <v>0</v>
      </c>
      <c r="AD1741">
        <v>10</v>
      </c>
      <c r="AE1741">
        <v>0</v>
      </c>
      <c r="AF1741">
        <v>3</v>
      </c>
      <c r="AG1741">
        <v>2</v>
      </c>
      <c r="AH1741">
        <v>1</v>
      </c>
      <c r="AI1741" t="s">
        <v>677</v>
      </c>
      <c r="AJ1741">
        <v>35.832616999999999</v>
      </c>
      <c r="AK1741" t="s">
        <v>933</v>
      </c>
      <c r="AL1741">
        <v>-84.009811999999997</v>
      </c>
      <c r="AM1741">
        <v>25</v>
      </c>
      <c r="AN1741">
        <v>1625</v>
      </c>
      <c r="AO1741" t="s">
        <v>118</v>
      </c>
      <c r="AP1741">
        <v>92</v>
      </c>
      <c r="AQ1741">
        <v>91</v>
      </c>
      <c r="AR1741">
        <v>64</v>
      </c>
      <c r="AZ1741">
        <v>300</v>
      </c>
      <c r="BA1741">
        <v>1</v>
      </c>
      <c r="BB1741" t="str">
        <f t="shared" si="86"/>
        <v xml:space="preserve">N162AM  </v>
      </c>
      <c r="BC1741">
        <v>1</v>
      </c>
      <c r="BE1741">
        <v>0</v>
      </c>
      <c r="BF1741">
        <v>0</v>
      </c>
      <c r="BG1741">
        <v>0</v>
      </c>
      <c r="BH1741">
        <v>1875</v>
      </c>
      <c r="BI1741">
        <v>1</v>
      </c>
      <c r="BJ1741">
        <v>1</v>
      </c>
      <c r="BK1741">
        <v>1</v>
      </c>
      <c r="BL1741">
        <v>0</v>
      </c>
      <c r="BO1741">
        <v>0</v>
      </c>
      <c r="BP1741">
        <v>0</v>
      </c>
      <c r="BW1741" t="str">
        <f>"14:52:05.285"</f>
        <v>14:52:05.285</v>
      </c>
      <c r="CJ1741">
        <v>3</v>
      </c>
      <c r="CK1741">
        <v>2</v>
      </c>
      <c r="CL1741">
        <v>0</v>
      </c>
      <c r="CM1741">
        <v>2</v>
      </c>
      <c r="CN1741">
        <v>0</v>
      </c>
      <c r="CO1741">
        <v>7</v>
      </c>
      <c r="CP1741" t="s">
        <v>119</v>
      </c>
      <c r="CQ1741">
        <v>232</v>
      </c>
      <c r="CR1741">
        <v>2</v>
      </c>
      <c r="CW1741">
        <v>6895585</v>
      </c>
      <c r="CY1741">
        <v>1</v>
      </c>
      <c r="CZ1741">
        <v>0</v>
      </c>
      <c r="DA1741">
        <v>1</v>
      </c>
      <c r="DB1741">
        <v>0</v>
      </c>
      <c r="DC1741">
        <v>0</v>
      </c>
      <c r="DD1741">
        <v>1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>"12/16/2021 14:52:06.586"</f>
        <v>12/16/2021 14:52:06.586</v>
      </c>
      <c r="C1742" t="str">
        <f t="shared" si="85"/>
        <v>FFDFD3C0</v>
      </c>
      <c r="D1742" t="s">
        <v>113</v>
      </c>
      <c r="E1742">
        <v>8</v>
      </c>
      <c r="H1742">
        <v>176</v>
      </c>
      <c r="I1742" t="s">
        <v>114</v>
      </c>
      <c r="J1742" t="s">
        <v>115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>"14:52:06.352"</f>
        <v>14:52:06.352</v>
      </c>
      <c r="T1742" t="str">
        <f>"14:52:05.852"</f>
        <v>14:52:05.852</v>
      </c>
      <c r="U1742" t="str">
        <f t="shared" si="87"/>
        <v>A0F928</v>
      </c>
      <c r="V1742">
        <v>0</v>
      </c>
      <c r="W1742">
        <v>0</v>
      </c>
      <c r="X1742">
        <v>2</v>
      </c>
      <c r="Z1742">
        <v>0</v>
      </c>
      <c r="AA1742">
        <v>9</v>
      </c>
      <c r="AB1742">
        <v>3</v>
      </c>
      <c r="AC1742">
        <v>0</v>
      </c>
      <c r="AD1742">
        <v>10</v>
      </c>
      <c r="AE1742">
        <v>0</v>
      </c>
      <c r="AF1742">
        <v>3</v>
      </c>
      <c r="AG1742">
        <v>2</v>
      </c>
      <c r="AH1742">
        <v>1</v>
      </c>
      <c r="AI1742" t="s">
        <v>934</v>
      </c>
      <c r="AJ1742">
        <v>35.833024999999999</v>
      </c>
      <c r="AK1742" t="s">
        <v>935</v>
      </c>
      <c r="AL1742">
        <v>-84.009297000000004</v>
      </c>
      <c r="AM1742">
        <v>25</v>
      </c>
      <c r="AN1742">
        <v>1625</v>
      </c>
      <c r="AO1742" t="s">
        <v>118</v>
      </c>
      <c r="AP1742">
        <v>92</v>
      </c>
      <c r="AQ1742">
        <v>90</v>
      </c>
      <c r="AR1742">
        <v>128</v>
      </c>
      <c r="AZ1742">
        <v>300</v>
      </c>
      <c r="BA1742">
        <v>1</v>
      </c>
      <c r="BB1742" t="str">
        <f t="shared" si="86"/>
        <v xml:space="preserve">N162AM  </v>
      </c>
      <c r="BC1742">
        <v>1</v>
      </c>
      <c r="BE1742">
        <v>0</v>
      </c>
      <c r="BF1742">
        <v>0</v>
      </c>
      <c r="BG1742">
        <v>0</v>
      </c>
      <c r="BH1742">
        <v>1875</v>
      </c>
      <c r="BI1742">
        <v>1</v>
      </c>
      <c r="BJ1742">
        <v>1</v>
      </c>
      <c r="BK1742">
        <v>1</v>
      </c>
      <c r="BL1742">
        <v>0</v>
      </c>
      <c r="BO1742">
        <v>0</v>
      </c>
      <c r="BP1742">
        <v>0</v>
      </c>
      <c r="BW1742" t="str">
        <f>"14:52:06.352"</f>
        <v>14:52:06.352</v>
      </c>
      <c r="CJ1742">
        <v>3</v>
      </c>
      <c r="CK1742">
        <v>2</v>
      </c>
      <c r="CL1742">
        <v>0</v>
      </c>
      <c r="CM1742">
        <v>2</v>
      </c>
      <c r="CN1742">
        <v>0</v>
      </c>
      <c r="CO1742">
        <v>7</v>
      </c>
      <c r="CP1742" t="s">
        <v>119</v>
      </c>
      <c r="CQ1742">
        <v>232</v>
      </c>
      <c r="CR1742">
        <v>1</v>
      </c>
      <c r="CW1742">
        <v>15687997</v>
      </c>
      <c r="CY1742">
        <v>1</v>
      </c>
      <c r="CZ1742">
        <v>0</v>
      </c>
      <c r="DA1742">
        <v>0</v>
      </c>
      <c r="DB1742">
        <v>0</v>
      </c>
      <c r="DC1742">
        <v>0</v>
      </c>
      <c r="DD1742">
        <v>1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>"12/16/2021 14:52:06.586"</f>
        <v>12/16/2021 14:52:06.586</v>
      </c>
      <c r="C1743" t="str">
        <f t="shared" si="85"/>
        <v>FFDFD3C0</v>
      </c>
      <c r="D1743" t="s">
        <v>133</v>
      </c>
      <c r="E1743">
        <v>44</v>
      </c>
      <c r="H1743">
        <v>131</v>
      </c>
      <c r="I1743" t="s">
        <v>134</v>
      </c>
      <c r="J1743" t="s">
        <v>135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>"14:52:06.352"</f>
        <v>14:52:06.352</v>
      </c>
      <c r="T1743" t="str">
        <f>"14:52:05.852"</f>
        <v>14:52:05.852</v>
      </c>
      <c r="U1743" t="str">
        <f t="shared" si="87"/>
        <v>A0F928</v>
      </c>
      <c r="V1743">
        <v>0</v>
      </c>
      <c r="W1743">
        <v>0</v>
      </c>
      <c r="X1743">
        <v>2</v>
      </c>
      <c r="Z1743">
        <v>0</v>
      </c>
      <c r="AA1743">
        <v>9</v>
      </c>
      <c r="AB1743">
        <v>3</v>
      </c>
      <c r="AC1743">
        <v>0</v>
      </c>
      <c r="AD1743">
        <v>10</v>
      </c>
      <c r="AE1743">
        <v>0</v>
      </c>
      <c r="AF1743">
        <v>3</v>
      </c>
      <c r="AG1743">
        <v>2</v>
      </c>
      <c r="AH1743">
        <v>1</v>
      </c>
      <c r="AI1743" t="s">
        <v>934</v>
      </c>
      <c r="AJ1743">
        <v>35.833024999999999</v>
      </c>
      <c r="AK1743" t="s">
        <v>935</v>
      </c>
      <c r="AL1743">
        <v>-84.009297000000004</v>
      </c>
      <c r="AM1743">
        <v>25</v>
      </c>
      <c r="AN1743">
        <v>1625</v>
      </c>
      <c r="AO1743" t="s">
        <v>118</v>
      </c>
      <c r="AP1743">
        <v>92</v>
      </c>
      <c r="AQ1743">
        <v>90</v>
      </c>
      <c r="AR1743">
        <v>128</v>
      </c>
      <c r="AZ1743">
        <v>300</v>
      </c>
      <c r="BA1743">
        <v>1</v>
      </c>
      <c r="BB1743" t="str">
        <f t="shared" si="86"/>
        <v xml:space="preserve">N162AM  </v>
      </c>
      <c r="BC1743">
        <v>1</v>
      </c>
      <c r="BE1743">
        <v>0</v>
      </c>
      <c r="BF1743">
        <v>0</v>
      </c>
      <c r="BG1743">
        <v>0</v>
      </c>
      <c r="BH1743">
        <v>1875</v>
      </c>
      <c r="BI1743">
        <v>1</v>
      </c>
      <c r="BJ1743">
        <v>1</v>
      </c>
      <c r="BK1743">
        <v>1</v>
      </c>
      <c r="BL1743">
        <v>0</v>
      </c>
      <c r="BO1743">
        <v>0</v>
      </c>
      <c r="BP1743">
        <v>0</v>
      </c>
      <c r="BW1743" t="str">
        <f>"14:52:06.352"</f>
        <v>14:52:06.352</v>
      </c>
      <c r="CJ1743">
        <v>3</v>
      </c>
      <c r="CK1743">
        <v>2</v>
      </c>
      <c r="CL1743">
        <v>0</v>
      </c>
      <c r="CM1743">
        <v>2</v>
      </c>
      <c r="CN1743">
        <v>0</v>
      </c>
      <c r="CO1743">
        <v>7</v>
      </c>
      <c r="CP1743" t="s">
        <v>119</v>
      </c>
      <c r="CQ1743">
        <v>232</v>
      </c>
      <c r="CR1743">
        <v>1</v>
      </c>
      <c r="CW1743">
        <v>15687997</v>
      </c>
      <c r="CY1743">
        <v>1</v>
      </c>
      <c r="CZ1743">
        <v>0</v>
      </c>
      <c r="DA1743">
        <v>1</v>
      </c>
      <c r="DB1743">
        <v>0</v>
      </c>
      <c r="DC1743">
        <v>0</v>
      </c>
      <c r="DD1743">
        <v>1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>"12/16/2021 14:52:06.586"</f>
        <v>12/16/2021 14:52:06.586</v>
      </c>
      <c r="C1744" t="str">
        <f t="shared" si="85"/>
        <v>FFDFD3C0</v>
      </c>
      <c r="D1744" t="s">
        <v>124</v>
      </c>
      <c r="E1744">
        <v>10</v>
      </c>
      <c r="F1744">
        <v>1010</v>
      </c>
      <c r="G1744" t="s">
        <v>130</v>
      </c>
      <c r="J1744" t="s">
        <v>125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>"14:52:06.352"</f>
        <v>14:52:06.352</v>
      </c>
      <c r="T1744" t="str">
        <f>"14:52:05.852"</f>
        <v>14:52:05.852</v>
      </c>
      <c r="U1744" t="str">
        <f t="shared" si="87"/>
        <v>A0F928</v>
      </c>
      <c r="V1744">
        <v>0</v>
      </c>
      <c r="W1744">
        <v>0</v>
      </c>
      <c r="X1744">
        <v>2</v>
      </c>
      <c r="Z1744">
        <v>0</v>
      </c>
      <c r="AA1744">
        <v>9</v>
      </c>
      <c r="AB1744">
        <v>3</v>
      </c>
      <c r="AC1744">
        <v>0</v>
      </c>
      <c r="AD1744">
        <v>10</v>
      </c>
      <c r="AE1744">
        <v>0</v>
      </c>
      <c r="AF1744">
        <v>3</v>
      </c>
      <c r="AG1744">
        <v>2</v>
      </c>
      <c r="AH1744">
        <v>1</v>
      </c>
      <c r="AI1744" t="s">
        <v>934</v>
      </c>
      <c r="AJ1744">
        <v>35.833024999999999</v>
      </c>
      <c r="AK1744" t="s">
        <v>935</v>
      </c>
      <c r="AL1744">
        <v>-84.009297000000004</v>
      </c>
      <c r="AM1744">
        <v>25</v>
      </c>
      <c r="AN1744">
        <v>1625</v>
      </c>
      <c r="AO1744" t="s">
        <v>118</v>
      </c>
      <c r="AP1744">
        <v>92</v>
      </c>
      <c r="AQ1744">
        <v>90</v>
      </c>
      <c r="AR1744">
        <v>128</v>
      </c>
      <c r="AZ1744">
        <v>300</v>
      </c>
      <c r="BA1744">
        <v>1</v>
      </c>
      <c r="BB1744" t="str">
        <f t="shared" si="86"/>
        <v xml:space="preserve">N162AM  </v>
      </c>
      <c r="BC1744">
        <v>1</v>
      </c>
      <c r="BE1744">
        <v>0</v>
      </c>
      <c r="BF1744">
        <v>0</v>
      </c>
      <c r="BG1744">
        <v>0</v>
      </c>
      <c r="BH1744">
        <v>1875</v>
      </c>
      <c r="BI1744">
        <v>1</v>
      </c>
      <c r="BJ1744">
        <v>1</v>
      </c>
      <c r="BK1744">
        <v>1</v>
      </c>
      <c r="BL1744">
        <v>0</v>
      </c>
      <c r="BO1744">
        <v>0</v>
      </c>
      <c r="BP1744">
        <v>0</v>
      </c>
      <c r="BW1744" t="str">
        <f>"14:52:06.352"</f>
        <v>14:52:06.352</v>
      </c>
      <c r="CJ1744">
        <v>3</v>
      </c>
      <c r="CK1744">
        <v>2</v>
      </c>
      <c r="CL1744">
        <v>0</v>
      </c>
      <c r="CM1744">
        <v>2</v>
      </c>
      <c r="CN1744">
        <v>0</v>
      </c>
      <c r="CO1744">
        <v>7</v>
      </c>
      <c r="CP1744" t="s">
        <v>119</v>
      </c>
      <c r="CQ1744">
        <v>232</v>
      </c>
      <c r="CR1744">
        <v>1</v>
      </c>
      <c r="CW1744">
        <v>15687997</v>
      </c>
      <c r="CY1744">
        <v>1</v>
      </c>
      <c r="CZ1744">
        <v>0</v>
      </c>
      <c r="DA1744">
        <v>1</v>
      </c>
      <c r="DB1744">
        <v>0</v>
      </c>
      <c r="DC1744">
        <v>0</v>
      </c>
      <c r="DD1744">
        <v>1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>"12/16/2021 14:52:06.586"</f>
        <v>12/16/2021 14:52:06.586</v>
      </c>
      <c r="C1745" t="str">
        <f t="shared" si="85"/>
        <v>FFDFD3C0</v>
      </c>
      <c r="D1745" t="s">
        <v>124</v>
      </c>
      <c r="E1745">
        <v>5</v>
      </c>
      <c r="F1745">
        <v>1005</v>
      </c>
      <c r="G1745" t="s">
        <v>114</v>
      </c>
      <c r="J1745" t="s">
        <v>125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>"14:52:06.352"</f>
        <v>14:52:06.352</v>
      </c>
      <c r="T1745" t="str">
        <f>"14:52:05.852"</f>
        <v>14:52:05.852</v>
      </c>
      <c r="U1745" t="str">
        <f t="shared" si="87"/>
        <v>A0F928</v>
      </c>
      <c r="V1745">
        <v>0</v>
      </c>
      <c r="W1745">
        <v>0</v>
      </c>
      <c r="X1745">
        <v>2</v>
      </c>
      <c r="Z1745">
        <v>0</v>
      </c>
      <c r="AA1745">
        <v>9</v>
      </c>
      <c r="AB1745">
        <v>3</v>
      </c>
      <c r="AC1745">
        <v>0</v>
      </c>
      <c r="AD1745">
        <v>10</v>
      </c>
      <c r="AE1745">
        <v>0</v>
      </c>
      <c r="AF1745">
        <v>3</v>
      </c>
      <c r="AG1745">
        <v>2</v>
      </c>
      <c r="AH1745">
        <v>1</v>
      </c>
      <c r="AI1745" t="s">
        <v>934</v>
      </c>
      <c r="AJ1745">
        <v>35.833024999999999</v>
      </c>
      <c r="AK1745" t="s">
        <v>935</v>
      </c>
      <c r="AL1745">
        <v>-84.009297000000004</v>
      </c>
      <c r="AM1745">
        <v>25</v>
      </c>
      <c r="AN1745">
        <v>1625</v>
      </c>
      <c r="AO1745" t="s">
        <v>118</v>
      </c>
      <c r="AP1745">
        <v>92</v>
      </c>
      <c r="AQ1745">
        <v>90</v>
      </c>
      <c r="AR1745">
        <v>128</v>
      </c>
      <c r="AZ1745">
        <v>300</v>
      </c>
      <c r="BA1745">
        <v>1</v>
      </c>
      <c r="BB1745" t="str">
        <f t="shared" si="86"/>
        <v xml:space="preserve">N162AM  </v>
      </c>
      <c r="BC1745">
        <v>1</v>
      </c>
      <c r="BE1745">
        <v>0</v>
      </c>
      <c r="BF1745">
        <v>0</v>
      </c>
      <c r="BG1745">
        <v>0</v>
      </c>
      <c r="BH1745">
        <v>1875</v>
      </c>
      <c r="BI1745">
        <v>1</v>
      </c>
      <c r="BJ1745">
        <v>1</v>
      </c>
      <c r="BK1745">
        <v>1</v>
      </c>
      <c r="BL1745">
        <v>0</v>
      </c>
      <c r="BO1745">
        <v>0</v>
      </c>
      <c r="BP1745">
        <v>0</v>
      </c>
      <c r="BW1745" t="str">
        <f>"14:52:06.352"</f>
        <v>14:52:06.352</v>
      </c>
      <c r="CJ1745">
        <v>3</v>
      </c>
      <c r="CK1745">
        <v>2</v>
      </c>
      <c r="CL1745">
        <v>0</v>
      </c>
      <c r="CM1745">
        <v>2</v>
      </c>
      <c r="CN1745">
        <v>0</v>
      </c>
      <c r="CO1745">
        <v>7</v>
      </c>
      <c r="CP1745" t="s">
        <v>119</v>
      </c>
      <c r="CQ1745">
        <v>232</v>
      </c>
      <c r="CR1745">
        <v>1</v>
      </c>
      <c r="CW1745">
        <v>15687997</v>
      </c>
      <c r="CY1745">
        <v>1</v>
      </c>
      <c r="CZ1745">
        <v>0</v>
      </c>
      <c r="DA1745">
        <v>1</v>
      </c>
      <c r="DB1745">
        <v>0</v>
      </c>
      <c r="DC1745">
        <v>0</v>
      </c>
      <c r="DD1745">
        <v>1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>"12/16/2021 14:52:07.601"</f>
        <v>12/16/2021 14:52:07.601</v>
      </c>
      <c r="C1746" t="str">
        <f t="shared" si="85"/>
        <v>FFDFD3C0</v>
      </c>
      <c r="D1746" t="s">
        <v>124</v>
      </c>
      <c r="E1746">
        <v>10</v>
      </c>
      <c r="F1746">
        <v>1010</v>
      </c>
      <c r="G1746" t="s">
        <v>130</v>
      </c>
      <c r="J1746" t="s">
        <v>125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>"14:52:07.383"</f>
        <v>14:52:07.383</v>
      </c>
      <c r="T1746" t="str">
        <f>"14:52:06.983"</f>
        <v>14:52:06.983</v>
      </c>
      <c r="U1746" t="str">
        <f t="shared" si="87"/>
        <v>A0F928</v>
      </c>
      <c r="V1746">
        <v>0</v>
      </c>
      <c r="W1746">
        <v>0</v>
      </c>
      <c r="X1746">
        <v>2</v>
      </c>
      <c r="Z1746">
        <v>0</v>
      </c>
      <c r="AA1746">
        <v>9</v>
      </c>
      <c r="AB1746">
        <v>3</v>
      </c>
      <c r="AC1746">
        <v>0</v>
      </c>
      <c r="AD1746">
        <v>10</v>
      </c>
      <c r="AE1746">
        <v>0</v>
      </c>
      <c r="AF1746">
        <v>3</v>
      </c>
      <c r="AG1746">
        <v>2</v>
      </c>
      <c r="AH1746">
        <v>1</v>
      </c>
      <c r="AI1746" t="s">
        <v>602</v>
      </c>
      <c r="AJ1746">
        <v>35.833519000000003</v>
      </c>
      <c r="AK1746" t="s">
        <v>936</v>
      </c>
      <c r="AL1746">
        <v>-84.008739000000006</v>
      </c>
      <c r="AM1746">
        <v>25</v>
      </c>
      <c r="AN1746">
        <v>1625</v>
      </c>
      <c r="AO1746" t="s">
        <v>118</v>
      </c>
      <c r="AP1746">
        <v>93</v>
      </c>
      <c r="AQ1746">
        <v>88</v>
      </c>
      <c r="AR1746">
        <v>128</v>
      </c>
      <c r="AZ1746">
        <v>300</v>
      </c>
      <c r="BA1746">
        <v>1</v>
      </c>
      <c r="BB1746" t="str">
        <f t="shared" si="86"/>
        <v xml:space="preserve">N162AM  </v>
      </c>
      <c r="BC1746">
        <v>1</v>
      </c>
      <c r="BE1746">
        <v>0</v>
      </c>
      <c r="BF1746">
        <v>0</v>
      </c>
      <c r="BG1746">
        <v>0</v>
      </c>
      <c r="BH1746">
        <v>1875</v>
      </c>
      <c r="BI1746">
        <v>1</v>
      </c>
      <c r="BJ1746">
        <v>1</v>
      </c>
      <c r="BK1746">
        <v>1</v>
      </c>
      <c r="BL1746">
        <v>0</v>
      </c>
      <c r="BO1746">
        <v>0</v>
      </c>
      <c r="BP1746">
        <v>0</v>
      </c>
      <c r="BW1746" t="str">
        <f>"14:52:07.389"</f>
        <v>14:52:07.389</v>
      </c>
      <c r="CJ1746">
        <v>3</v>
      </c>
      <c r="CK1746">
        <v>2</v>
      </c>
      <c r="CL1746">
        <v>0</v>
      </c>
      <c r="CM1746">
        <v>2</v>
      </c>
      <c r="CN1746">
        <v>0</v>
      </c>
      <c r="CO1746">
        <v>7</v>
      </c>
      <c r="CP1746" t="s">
        <v>119</v>
      </c>
      <c r="CQ1746">
        <v>232</v>
      </c>
      <c r="CR1746">
        <v>2</v>
      </c>
      <c r="CW1746">
        <v>6898883</v>
      </c>
      <c r="CY1746">
        <v>1</v>
      </c>
      <c r="CZ1746">
        <v>0</v>
      </c>
      <c r="DA1746">
        <v>0</v>
      </c>
      <c r="DB1746">
        <v>0</v>
      </c>
      <c r="DC1746">
        <v>0</v>
      </c>
      <c r="DD1746">
        <v>1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>"12/16/2021 14:52:07.601"</f>
        <v>12/16/2021 14:52:07.601</v>
      </c>
      <c r="C1747" t="str">
        <f t="shared" si="85"/>
        <v>FFDFD3C0</v>
      </c>
      <c r="D1747" t="s">
        <v>124</v>
      </c>
      <c r="E1747">
        <v>5</v>
      </c>
      <c r="F1747">
        <v>1005</v>
      </c>
      <c r="G1747" t="s">
        <v>114</v>
      </c>
      <c r="J1747" t="s">
        <v>125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>"14:52:07.383"</f>
        <v>14:52:07.383</v>
      </c>
      <c r="T1747" t="str">
        <f>"14:52:06.983"</f>
        <v>14:52:06.983</v>
      </c>
      <c r="U1747" t="str">
        <f t="shared" si="87"/>
        <v>A0F928</v>
      </c>
      <c r="V1747">
        <v>0</v>
      </c>
      <c r="W1747">
        <v>0</v>
      </c>
      <c r="X1747">
        <v>2</v>
      </c>
      <c r="Z1747">
        <v>0</v>
      </c>
      <c r="AA1747">
        <v>9</v>
      </c>
      <c r="AB1747">
        <v>3</v>
      </c>
      <c r="AC1747">
        <v>0</v>
      </c>
      <c r="AD1747">
        <v>10</v>
      </c>
      <c r="AE1747">
        <v>0</v>
      </c>
      <c r="AF1747">
        <v>3</v>
      </c>
      <c r="AG1747">
        <v>2</v>
      </c>
      <c r="AH1747">
        <v>1</v>
      </c>
      <c r="AI1747" t="s">
        <v>602</v>
      </c>
      <c r="AJ1747">
        <v>35.833519000000003</v>
      </c>
      <c r="AK1747" t="s">
        <v>936</v>
      </c>
      <c r="AL1747">
        <v>-84.008739000000006</v>
      </c>
      <c r="AM1747">
        <v>25</v>
      </c>
      <c r="AN1747">
        <v>1625</v>
      </c>
      <c r="AO1747" t="s">
        <v>118</v>
      </c>
      <c r="AP1747">
        <v>93</v>
      </c>
      <c r="AQ1747">
        <v>88</v>
      </c>
      <c r="AR1747">
        <v>128</v>
      </c>
      <c r="AZ1747">
        <v>300</v>
      </c>
      <c r="BA1747">
        <v>1</v>
      </c>
      <c r="BB1747" t="str">
        <f t="shared" si="86"/>
        <v xml:space="preserve">N162AM  </v>
      </c>
      <c r="BC1747">
        <v>1</v>
      </c>
      <c r="BE1747">
        <v>0</v>
      </c>
      <c r="BF1747">
        <v>0</v>
      </c>
      <c r="BG1747">
        <v>0</v>
      </c>
      <c r="BH1747">
        <v>1875</v>
      </c>
      <c r="BI1747">
        <v>1</v>
      </c>
      <c r="BJ1747">
        <v>1</v>
      </c>
      <c r="BK1747">
        <v>1</v>
      </c>
      <c r="BL1747">
        <v>0</v>
      </c>
      <c r="BO1747">
        <v>0</v>
      </c>
      <c r="BP1747">
        <v>0</v>
      </c>
      <c r="BW1747" t="str">
        <f>"14:52:07.389"</f>
        <v>14:52:07.389</v>
      </c>
      <c r="CJ1747">
        <v>3</v>
      </c>
      <c r="CK1747">
        <v>2</v>
      </c>
      <c r="CL1747">
        <v>0</v>
      </c>
      <c r="CM1747">
        <v>2</v>
      </c>
      <c r="CN1747">
        <v>0</v>
      </c>
      <c r="CO1747">
        <v>7</v>
      </c>
      <c r="CP1747" t="s">
        <v>119</v>
      </c>
      <c r="CQ1747">
        <v>232</v>
      </c>
      <c r="CR1747">
        <v>2</v>
      </c>
      <c r="CW1747">
        <v>6898883</v>
      </c>
      <c r="CY1747">
        <v>1</v>
      </c>
      <c r="CZ1747">
        <v>0</v>
      </c>
      <c r="DA1747">
        <v>1</v>
      </c>
      <c r="DB1747">
        <v>0</v>
      </c>
      <c r="DC1747">
        <v>0</v>
      </c>
      <c r="DD1747">
        <v>1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>"12/16/2021 14:52:07.664"</f>
        <v>12/16/2021 14:52:07.664</v>
      </c>
      <c r="C1748" t="str">
        <f t="shared" si="85"/>
        <v>FFDFD3C0</v>
      </c>
      <c r="D1748" t="s">
        <v>113</v>
      </c>
      <c r="E1748">
        <v>8</v>
      </c>
      <c r="H1748">
        <v>176</v>
      </c>
      <c r="I1748" t="s">
        <v>114</v>
      </c>
      <c r="J1748" t="s">
        <v>115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>"14:52:07.383"</f>
        <v>14:52:07.383</v>
      </c>
      <c r="T1748" t="str">
        <f>"14:52:06.983"</f>
        <v>14:52:06.983</v>
      </c>
      <c r="U1748" t="str">
        <f t="shared" si="87"/>
        <v>A0F928</v>
      </c>
      <c r="V1748">
        <v>0</v>
      </c>
      <c r="W1748">
        <v>0</v>
      </c>
      <c r="X1748">
        <v>2</v>
      </c>
      <c r="Z1748">
        <v>0</v>
      </c>
      <c r="AA1748">
        <v>9</v>
      </c>
      <c r="AB1748">
        <v>3</v>
      </c>
      <c r="AC1748">
        <v>0</v>
      </c>
      <c r="AD1748">
        <v>10</v>
      </c>
      <c r="AE1748">
        <v>0</v>
      </c>
      <c r="AF1748">
        <v>3</v>
      </c>
      <c r="AG1748">
        <v>2</v>
      </c>
      <c r="AH1748">
        <v>1</v>
      </c>
      <c r="AI1748" t="s">
        <v>602</v>
      </c>
      <c r="AJ1748">
        <v>35.833519000000003</v>
      </c>
      <c r="AK1748" t="s">
        <v>936</v>
      </c>
      <c r="AL1748">
        <v>-84.008739000000006</v>
      </c>
      <c r="AM1748">
        <v>25</v>
      </c>
      <c r="AN1748">
        <v>1625</v>
      </c>
      <c r="AO1748" t="s">
        <v>118</v>
      </c>
      <c r="AP1748">
        <v>93</v>
      </c>
      <c r="AQ1748">
        <v>88</v>
      </c>
      <c r="AR1748">
        <v>128</v>
      </c>
      <c r="AZ1748">
        <v>300</v>
      </c>
      <c r="BA1748">
        <v>1</v>
      </c>
      <c r="BB1748" t="str">
        <f t="shared" si="86"/>
        <v xml:space="preserve">N162AM  </v>
      </c>
      <c r="BC1748">
        <v>1</v>
      </c>
      <c r="BE1748">
        <v>0</v>
      </c>
      <c r="BF1748">
        <v>0</v>
      </c>
      <c r="BG1748">
        <v>0</v>
      </c>
      <c r="BH1748">
        <v>1875</v>
      </c>
      <c r="BI1748">
        <v>1</v>
      </c>
      <c r="BJ1748">
        <v>1</v>
      </c>
      <c r="BK1748">
        <v>1</v>
      </c>
      <c r="BL1748">
        <v>0</v>
      </c>
      <c r="BO1748">
        <v>0</v>
      </c>
      <c r="BP1748">
        <v>0</v>
      </c>
      <c r="BW1748" t="str">
        <f>"14:52:07.389"</f>
        <v>14:52:07.389</v>
      </c>
      <c r="CJ1748">
        <v>3</v>
      </c>
      <c r="CK1748">
        <v>2</v>
      </c>
      <c r="CL1748">
        <v>0</v>
      </c>
      <c r="CM1748">
        <v>2</v>
      </c>
      <c r="CN1748">
        <v>0</v>
      </c>
      <c r="CO1748">
        <v>7</v>
      </c>
      <c r="CP1748" t="s">
        <v>119</v>
      </c>
      <c r="CQ1748">
        <v>232</v>
      </c>
      <c r="CR1748">
        <v>2</v>
      </c>
      <c r="CW1748">
        <v>6898883</v>
      </c>
      <c r="CY1748">
        <v>1</v>
      </c>
      <c r="CZ1748">
        <v>0</v>
      </c>
      <c r="DA1748">
        <v>1</v>
      </c>
      <c r="DB1748">
        <v>0</v>
      </c>
      <c r="DC1748">
        <v>0</v>
      </c>
      <c r="DD1748">
        <v>1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>"12/16/2021 14:52:07.742"</f>
        <v>12/16/2021 14:52:07.742</v>
      </c>
      <c r="C1749" t="str">
        <f t="shared" si="85"/>
        <v>FFDFD3C0</v>
      </c>
      <c r="D1749" t="s">
        <v>133</v>
      </c>
      <c r="E1749">
        <v>44</v>
      </c>
      <c r="H1749">
        <v>131</v>
      </c>
      <c r="I1749" t="s">
        <v>134</v>
      </c>
      <c r="J1749" t="s">
        <v>135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>"14:52:07.383"</f>
        <v>14:52:07.383</v>
      </c>
      <c r="T1749" t="str">
        <f>"14:52:06.983"</f>
        <v>14:52:06.983</v>
      </c>
      <c r="U1749" t="str">
        <f t="shared" si="87"/>
        <v>A0F928</v>
      </c>
      <c r="V1749">
        <v>0</v>
      </c>
      <c r="W1749">
        <v>0</v>
      </c>
      <c r="X1749">
        <v>2</v>
      </c>
      <c r="Z1749">
        <v>0</v>
      </c>
      <c r="AA1749">
        <v>9</v>
      </c>
      <c r="AB1749">
        <v>3</v>
      </c>
      <c r="AC1749">
        <v>0</v>
      </c>
      <c r="AD1749">
        <v>10</v>
      </c>
      <c r="AE1749">
        <v>0</v>
      </c>
      <c r="AF1749">
        <v>3</v>
      </c>
      <c r="AG1749">
        <v>2</v>
      </c>
      <c r="AH1749">
        <v>1</v>
      </c>
      <c r="AI1749" t="s">
        <v>602</v>
      </c>
      <c r="AJ1749">
        <v>35.833519000000003</v>
      </c>
      <c r="AK1749" t="s">
        <v>936</v>
      </c>
      <c r="AL1749">
        <v>-84.008739000000006</v>
      </c>
      <c r="AM1749">
        <v>25</v>
      </c>
      <c r="AN1749">
        <v>1625</v>
      </c>
      <c r="AO1749" t="s">
        <v>118</v>
      </c>
      <c r="AP1749">
        <v>93</v>
      </c>
      <c r="AQ1749">
        <v>88</v>
      </c>
      <c r="AR1749">
        <v>128</v>
      </c>
      <c r="AZ1749">
        <v>300</v>
      </c>
      <c r="BA1749">
        <v>1</v>
      </c>
      <c r="BB1749" t="str">
        <f t="shared" si="86"/>
        <v xml:space="preserve">N162AM  </v>
      </c>
      <c r="BC1749">
        <v>1</v>
      </c>
      <c r="BE1749">
        <v>0</v>
      </c>
      <c r="BF1749">
        <v>0</v>
      </c>
      <c r="BG1749">
        <v>0</v>
      </c>
      <c r="BH1749">
        <v>1875</v>
      </c>
      <c r="BI1749">
        <v>1</v>
      </c>
      <c r="BJ1749">
        <v>1</v>
      </c>
      <c r="BK1749">
        <v>1</v>
      </c>
      <c r="BL1749">
        <v>0</v>
      </c>
      <c r="BO1749">
        <v>0</v>
      </c>
      <c r="BP1749">
        <v>0</v>
      </c>
      <c r="BW1749" t="str">
        <f>"14:52:07.389"</f>
        <v>14:52:07.389</v>
      </c>
      <c r="CJ1749">
        <v>3</v>
      </c>
      <c r="CK1749">
        <v>2</v>
      </c>
      <c r="CL1749">
        <v>0</v>
      </c>
      <c r="CM1749">
        <v>2</v>
      </c>
      <c r="CN1749">
        <v>0</v>
      </c>
      <c r="CO1749">
        <v>7</v>
      </c>
      <c r="CP1749" t="s">
        <v>119</v>
      </c>
      <c r="CQ1749">
        <v>232</v>
      </c>
      <c r="CR1749">
        <v>2</v>
      </c>
      <c r="CW1749">
        <v>6898883</v>
      </c>
      <c r="CY1749">
        <v>1</v>
      </c>
      <c r="CZ1749">
        <v>0</v>
      </c>
      <c r="DA1749">
        <v>1</v>
      </c>
      <c r="DB1749">
        <v>0</v>
      </c>
      <c r="DC1749">
        <v>0</v>
      </c>
      <c r="DD1749">
        <v>1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>"12/16/2021 14:52:08.539"</f>
        <v>12/16/2021 14:52:08.539</v>
      </c>
      <c r="C1750" t="str">
        <f t="shared" si="85"/>
        <v>FFDFD3C0</v>
      </c>
      <c r="D1750" t="s">
        <v>124</v>
      </c>
      <c r="E1750">
        <v>10</v>
      </c>
      <c r="F1750">
        <v>1010</v>
      </c>
      <c r="G1750" t="s">
        <v>130</v>
      </c>
      <c r="J1750" t="s">
        <v>125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>"14:52:08.313"</f>
        <v>14:52:08.313</v>
      </c>
      <c r="T1750" t="str">
        <f>"14:52:07.813"</f>
        <v>14:52:07.813</v>
      </c>
      <c r="U1750" t="str">
        <f t="shared" si="87"/>
        <v>A0F928</v>
      </c>
      <c r="V1750">
        <v>0</v>
      </c>
      <c r="W1750">
        <v>0</v>
      </c>
      <c r="X1750">
        <v>2</v>
      </c>
      <c r="Z1750">
        <v>0</v>
      </c>
      <c r="AA1750">
        <v>9</v>
      </c>
      <c r="AB1750">
        <v>3</v>
      </c>
      <c r="AC1750">
        <v>0</v>
      </c>
      <c r="AD1750">
        <v>10</v>
      </c>
      <c r="AE1750">
        <v>0</v>
      </c>
      <c r="AF1750">
        <v>3</v>
      </c>
      <c r="AG1750">
        <v>2</v>
      </c>
      <c r="AH1750">
        <v>1</v>
      </c>
      <c r="AI1750" t="s">
        <v>937</v>
      </c>
      <c r="AJ1750">
        <v>35.833862000000003</v>
      </c>
      <c r="AK1750" t="s">
        <v>706</v>
      </c>
      <c r="AL1750">
        <v>-84.008245000000002</v>
      </c>
      <c r="AM1750">
        <v>25</v>
      </c>
      <c r="AN1750">
        <v>1625</v>
      </c>
      <c r="AO1750" t="s">
        <v>118</v>
      </c>
      <c r="AP1750">
        <v>93</v>
      </c>
      <c r="AQ1750">
        <v>88</v>
      </c>
      <c r="AR1750">
        <v>0</v>
      </c>
      <c r="AZ1750">
        <v>300</v>
      </c>
      <c r="BA1750">
        <v>1</v>
      </c>
      <c r="BB1750" t="str">
        <f t="shared" si="86"/>
        <v xml:space="preserve">N162AM  </v>
      </c>
      <c r="BC1750">
        <v>1</v>
      </c>
      <c r="BE1750">
        <v>0</v>
      </c>
      <c r="BF1750">
        <v>0</v>
      </c>
      <c r="BG1750">
        <v>0</v>
      </c>
      <c r="BH1750">
        <v>1875</v>
      </c>
      <c r="BI1750">
        <v>1</v>
      </c>
      <c r="BJ1750">
        <v>1</v>
      </c>
      <c r="BK1750">
        <v>1</v>
      </c>
      <c r="BL1750">
        <v>0</v>
      </c>
      <c r="BO1750">
        <v>0</v>
      </c>
      <c r="BP1750">
        <v>0</v>
      </c>
      <c r="BW1750" t="str">
        <f>"14:52:08.315"</f>
        <v>14:52:08.315</v>
      </c>
      <c r="CJ1750">
        <v>3</v>
      </c>
      <c r="CK1750">
        <v>2</v>
      </c>
      <c r="CL1750">
        <v>0</v>
      </c>
      <c r="CM1750">
        <v>2</v>
      </c>
      <c r="CN1750">
        <v>0</v>
      </c>
      <c r="CO1750">
        <v>7</v>
      </c>
      <c r="CP1750" t="s">
        <v>119</v>
      </c>
      <c r="CQ1750">
        <v>232</v>
      </c>
      <c r="CR1750">
        <v>2</v>
      </c>
      <c r="CW1750">
        <v>6900394</v>
      </c>
      <c r="CY1750">
        <v>1</v>
      </c>
      <c r="CZ1750">
        <v>0</v>
      </c>
      <c r="DA1750">
        <v>0</v>
      </c>
      <c r="DB1750">
        <v>0</v>
      </c>
      <c r="DC1750">
        <v>0</v>
      </c>
      <c r="DD1750">
        <v>1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>"12/16/2021 14:52:08.539"</f>
        <v>12/16/2021 14:52:08.539</v>
      </c>
      <c r="C1751" t="str">
        <f t="shared" si="85"/>
        <v>FFDFD3C0</v>
      </c>
      <c r="D1751" t="s">
        <v>124</v>
      </c>
      <c r="E1751">
        <v>5</v>
      </c>
      <c r="F1751">
        <v>1005</v>
      </c>
      <c r="G1751" t="s">
        <v>114</v>
      </c>
      <c r="J1751" t="s">
        <v>125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>"14:52:08.313"</f>
        <v>14:52:08.313</v>
      </c>
      <c r="T1751" t="str">
        <f>"14:52:07.813"</f>
        <v>14:52:07.813</v>
      </c>
      <c r="U1751" t="str">
        <f t="shared" si="87"/>
        <v>A0F928</v>
      </c>
      <c r="V1751">
        <v>0</v>
      </c>
      <c r="W1751">
        <v>0</v>
      </c>
      <c r="X1751">
        <v>2</v>
      </c>
      <c r="Z1751">
        <v>0</v>
      </c>
      <c r="AA1751">
        <v>9</v>
      </c>
      <c r="AB1751">
        <v>3</v>
      </c>
      <c r="AC1751">
        <v>0</v>
      </c>
      <c r="AD1751">
        <v>10</v>
      </c>
      <c r="AE1751">
        <v>0</v>
      </c>
      <c r="AF1751">
        <v>3</v>
      </c>
      <c r="AG1751">
        <v>2</v>
      </c>
      <c r="AH1751">
        <v>1</v>
      </c>
      <c r="AI1751" t="s">
        <v>937</v>
      </c>
      <c r="AJ1751">
        <v>35.833862000000003</v>
      </c>
      <c r="AK1751" t="s">
        <v>706</v>
      </c>
      <c r="AL1751">
        <v>-84.008245000000002</v>
      </c>
      <c r="AM1751">
        <v>25</v>
      </c>
      <c r="AN1751">
        <v>1625</v>
      </c>
      <c r="AO1751" t="s">
        <v>118</v>
      </c>
      <c r="AP1751">
        <v>93</v>
      </c>
      <c r="AQ1751">
        <v>88</v>
      </c>
      <c r="AR1751">
        <v>0</v>
      </c>
      <c r="AZ1751">
        <v>300</v>
      </c>
      <c r="BA1751">
        <v>1</v>
      </c>
      <c r="BB1751" t="str">
        <f t="shared" si="86"/>
        <v xml:space="preserve">N162AM  </v>
      </c>
      <c r="BC1751">
        <v>1</v>
      </c>
      <c r="BE1751">
        <v>0</v>
      </c>
      <c r="BF1751">
        <v>0</v>
      </c>
      <c r="BG1751">
        <v>0</v>
      </c>
      <c r="BH1751">
        <v>1875</v>
      </c>
      <c r="BI1751">
        <v>1</v>
      </c>
      <c r="BJ1751">
        <v>1</v>
      </c>
      <c r="BK1751">
        <v>1</v>
      </c>
      <c r="BL1751">
        <v>0</v>
      </c>
      <c r="BO1751">
        <v>0</v>
      </c>
      <c r="BP1751">
        <v>0</v>
      </c>
      <c r="BW1751" t="str">
        <f>"14:52:08.315"</f>
        <v>14:52:08.315</v>
      </c>
      <c r="CJ1751">
        <v>3</v>
      </c>
      <c r="CK1751">
        <v>2</v>
      </c>
      <c r="CL1751">
        <v>0</v>
      </c>
      <c r="CM1751">
        <v>2</v>
      </c>
      <c r="CN1751">
        <v>0</v>
      </c>
      <c r="CO1751">
        <v>7</v>
      </c>
      <c r="CP1751" t="s">
        <v>119</v>
      </c>
      <c r="CQ1751">
        <v>232</v>
      </c>
      <c r="CR1751">
        <v>2</v>
      </c>
      <c r="CW1751">
        <v>6900394</v>
      </c>
      <c r="CY1751">
        <v>1</v>
      </c>
      <c r="CZ1751">
        <v>0</v>
      </c>
      <c r="DA1751">
        <v>1</v>
      </c>
      <c r="DB1751">
        <v>0</v>
      </c>
      <c r="DC1751">
        <v>0</v>
      </c>
      <c r="DD1751">
        <v>1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>"12/16/2021 14:52:08.539"</f>
        <v>12/16/2021 14:52:08.539</v>
      </c>
      <c r="C1752" t="str">
        <f t="shared" si="85"/>
        <v>FFDFD3C0</v>
      </c>
      <c r="D1752" t="s">
        <v>113</v>
      </c>
      <c r="E1752">
        <v>8</v>
      </c>
      <c r="H1752">
        <v>176</v>
      </c>
      <c r="I1752" t="s">
        <v>114</v>
      </c>
      <c r="J1752" t="s">
        <v>115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>"14:52:08.313"</f>
        <v>14:52:08.313</v>
      </c>
      <c r="T1752" t="str">
        <f>"14:52:07.813"</f>
        <v>14:52:07.813</v>
      </c>
      <c r="U1752" t="str">
        <f t="shared" si="87"/>
        <v>A0F928</v>
      </c>
      <c r="V1752">
        <v>0</v>
      </c>
      <c r="W1752">
        <v>0</v>
      </c>
      <c r="X1752">
        <v>2</v>
      </c>
      <c r="Z1752">
        <v>0</v>
      </c>
      <c r="AA1752">
        <v>9</v>
      </c>
      <c r="AB1752">
        <v>3</v>
      </c>
      <c r="AC1752">
        <v>0</v>
      </c>
      <c r="AD1752">
        <v>10</v>
      </c>
      <c r="AE1752">
        <v>0</v>
      </c>
      <c r="AF1752">
        <v>3</v>
      </c>
      <c r="AG1752">
        <v>2</v>
      </c>
      <c r="AH1752">
        <v>1</v>
      </c>
      <c r="AI1752" t="s">
        <v>937</v>
      </c>
      <c r="AJ1752">
        <v>35.833862000000003</v>
      </c>
      <c r="AK1752" t="s">
        <v>706</v>
      </c>
      <c r="AL1752">
        <v>-84.008245000000002</v>
      </c>
      <c r="AM1752">
        <v>25</v>
      </c>
      <c r="AN1752">
        <v>1625</v>
      </c>
      <c r="AO1752" t="s">
        <v>118</v>
      </c>
      <c r="AP1752">
        <v>93</v>
      </c>
      <c r="AQ1752">
        <v>88</v>
      </c>
      <c r="AR1752">
        <v>0</v>
      </c>
      <c r="AZ1752">
        <v>300</v>
      </c>
      <c r="BA1752">
        <v>1</v>
      </c>
      <c r="BB1752" t="str">
        <f t="shared" si="86"/>
        <v xml:space="preserve">N162AM  </v>
      </c>
      <c r="BC1752">
        <v>1</v>
      </c>
      <c r="BE1752">
        <v>0</v>
      </c>
      <c r="BF1752">
        <v>0</v>
      </c>
      <c r="BG1752">
        <v>0</v>
      </c>
      <c r="BH1752">
        <v>1875</v>
      </c>
      <c r="BI1752">
        <v>1</v>
      </c>
      <c r="BJ1752">
        <v>1</v>
      </c>
      <c r="BK1752">
        <v>1</v>
      </c>
      <c r="BL1752">
        <v>0</v>
      </c>
      <c r="BO1752">
        <v>0</v>
      </c>
      <c r="BP1752">
        <v>0</v>
      </c>
      <c r="BW1752" t="str">
        <f>"14:52:08.315"</f>
        <v>14:52:08.315</v>
      </c>
      <c r="CJ1752">
        <v>3</v>
      </c>
      <c r="CK1752">
        <v>2</v>
      </c>
      <c r="CL1752">
        <v>0</v>
      </c>
      <c r="CM1752">
        <v>2</v>
      </c>
      <c r="CN1752">
        <v>0</v>
      </c>
      <c r="CO1752">
        <v>7</v>
      </c>
      <c r="CP1752" t="s">
        <v>119</v>
      </c>
      <c r="CQ1752">
        <v>232</v>
      </c>
      <c r="CR1752">
        <v>2</v>
      </c>
      <c r="CW1752">
        <v>6900394</v>
      </c>
      <c r="CY1752">
        <v>1</v>
      </c>
      <c r="CZ1752">
        <v>0</v>
      </c>
      <c r="DA1752">
        <v>1</v>
      </c>
      <c r="DB1752">
        <v>0</v>
      </c>
      <c r="DC1752">
        <v>0</v>
      </c>
      <c r="DD1752">
        <v>1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>"12/16/2021 14:52:08.539"</f>
        <v>12/16/2021 14:52:08.539</v>
      </c>
      <c r="C1753" t="str">
        <f t="shared" si="85"/>
        <v>FFDFD3C0</v>
      </c>
      <c r="D1753" t="s">
        <v>133</v>
      </c>
      <c r="E1753">
        <v>44</v>
      </c>
      <c r="H1753">
        <v>131</v>
      </c>
      <c r="I1753" t="s">
        <v>134</v>
      </c>
      <c r="J1753" t="s">
        <v>135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>"14:52:08.313"</f>
        <v>14:52:08.313</v>
      </c>
      <c r="T1753" t="str">
        <f>"14:52:07.813"</f>
        <v>14:52:07.813</v>
      </c>
      <c r="U1753" t="str">
        <f t="shared" si="87"/>
        <v>A0F928</v>
      </c>
      <c r="V1753">
        <v>0</v>
      </c>
      <c r="W1753">
        <v>0</v>
      </c>
      <c r="X1753">
        <v>2</v>
      </c>
      <c r="Z1753">
        <v>0</v>
      </c>
      <c r="AA1753">
        <v>9</v>
      </c>
      <c r="AB1753">
        <v>3</v>
      </c>
      <c r="AC1753">
        <v>0</v>
      </c>
      <c r="AD1753">
        <v>10</v>
      </c>
      <c r="AE1753">
        <v>0</v>
      </c>
      <c r="AF1753">
        <v>3</v>
      </c>
      <c r="AG1753">
        <v>2</v>
      </c>
      <c r="AH1753">
        <v>1</v>
      </c>
      <c r="AI1753" t="s">
        <v>937</v>
      </c>
      <c r="AJ1753">
        <v>35.833862000000003</v>
      </c>
      <c r="AK1753" t="s">
        <v>706</v>
      </c>
      <c r="AL1753">
        <v>-84.008245000000002</v>
      </c>
      <c r="AM1753">
        <v>25</v>
      </c>
      <c r="AN1753">
        <v>1625</v>
      </c>
      <c r="AO1753" t="s">
        <v>118</v>
      </c>
      <c r="AP1753">
        <v>93</v>
      </c>
      <c r="AQ1753">
        <v>88</v>
      </c>
      <c r="AR1753">
        <v>0</v>
      </c>
      <c r="AZ1753">
        <v>300</v>
      </c>
      <c r="BA1753">
        <v>1</v>
      </c>
      <c r="BB1753" t="str">
        <f t="shared" si="86"/>
        <v xml:space="preserve">N162AM  </v>
      </c>
      <c r="BC1753">
        <v>1</v>
      </c>
      <c r="BE1753">
        <v>0</v>
      </c>
      <c r="BF1753">
        <v>0</v>
      </c>
      <c r="BG1753">
        <v>0</v>
      </c>
      <c r="BH1753">
        <v>1875</v>
      </c>
      <c r="BI1753">
        <v>1</v>
      </c>
      <c r="BJ1753">
        <v>1</v>
      </c>
      <c r="BK1753">
        <v>1</v>
      </c>
      <c r="BL1753">
        <v>0</v>
      </c>
      <c r="BO1753">
        <v>0</v>
      </c>
      <c r="BP1753">
        <v>0</v>
      </c>
      <c r="BW1753" t="str">
        <f>"14:52:08.315"</f>
        <v>14:52:08.315</v>
      </c>
      <c r="CJ1753">
        <v>3</v>
      </c>
      <c r="CK1753">
        <v>2</v>
      </c>
      <c r="CL1753">
        <v>0</v>
      </c>
      <c r="CM1753">
        <v>2</v>
      </c>
      <c r="CN1753">
        <v>0</v>
      </c>
      <c r="CO1753">
        <v>7</v>
      </c>
      <c r="CP1753" t="s">
        <v>119</v>
      </c>
      <c r="CQ1753">
        <v>232</v>
      </c>
      <c r="CR1753">
        <v>2</v>
      </c>
      <c r="CW1753">
        <v>6900394</v>
      </c>
      <c r="CY1753">
        <v>1</v>
      </c>
      <c r="CZ1753">
        <v>0</v>
      </c>
      <c r="DA1753">
        <v>1</v>
      </c>
      <c r="DB1753">
        <v>0</v>
      </c>
      <c r="DC1753">
        <v>0</v>
      </c>
      <c r="DD1753">
        <v>1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>"12/16/2021 14:52:09.600"</f>
        <v>12/16/2021 14:52:09.600</v>
      </c>
      <c r="C1754" t="str">
        <f t="shared" si="85"/>
        <v>FFDFD3C0</v>
      </c>
      <c r="D1754" t="s">
        <v>133</v>
      </c>
      <c r="E1754">
        <v>44</v>
      </c>
      <c r="H1754">
        <v>131</v>
      </c>
      <c r="I1754" t="s">
        <v>134</v>
      </c>
      <c r="J1754" t="s">
        <v>135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>"14:52:09.398"</f>
        <v>14:52:09.398</v>
      </c>
      <c r="T1754" t="str">
        <f>"14:52:08.898"</f>
        <v>14:52:08.898</v>
      </c>
      <c r="U1754" t="str">
        <f t="shared" si="87"/>
        <v>A0F928</v>
      </c>
      <c r="V1754">
        <v>0</v>
      </c>
      <c r="W1754">
        <v>0</v>
      </c>
      <c r="X1754">
        <v>2</v>
      </c>
      <c r="Z1754">
        <v>0</v>
      </c>
      <c r="AA1754">
        <v>9</v>
      </c>
      <c r="AB1754">
        <v>3</v>
      </c>
      <c r="AC1754">
        <v>0</v>
      </c>
      <c r="AD1754">
        <v>10</v>
      </c>
      <c r="AE1754">
        <v>0</v>
      </c>
      <c r="AF1754">
        <v>3</v>
      </c>
      <c r="AG1754">
        <v>2</v>
      </c>
      <c r="AH1754">
        <v>1</v>
      </c>
      <c r="AI1754" t="s">
        <v>938</v>
      </c>
      <c r="AJ1754">
        <v>35.834291</v>
      </c>
      <c r="AK1754" t="s">
        <v>939</v>
      </c>
      <c r="AL1754">
        <v>-84.007644999999997</v>
      </c>
      <c r="AM1754">
        <v>25</v>
      </c>
      <c r="AN1754">
        <v>1625</v>
      </c>
      <c r="AO1754" t="s">
        <v>118</v>
      </c>
      <c r="AP1754">
        <v>92</v>
      </c>
      <c r="AQ1754">
        <v>87</v>
      </c>
      <c r="AR1754">
        <v>-64</v>
      </c>
      <c r="AZ1754">
        <v>300</v>
      </c>
      <c r="BA1754">
        <v>1</v>
      </c>
      <c r="BB1754" t="str">
        <f t="shared" si="86"/>
        <v xml:space="preserve">N162AM  </v>
      </c>
      <c r="BC1754">
        <v>1</v>
      </c>
      <c r="BE1754">
        <v>0</v>
      </c>
      <c r="BF1754">
        <v>0</v>
      </c>
      <c r="BG1754">
        <v>0</v>
      </c>
      <c r="BH1754">
        <v>1875</v>
      </c>
      <c r="BI1754">
        <v>1</v>
      </c>
      <c r="BJ1754">
        <v>1</v>
      </c>
      <c r="BK1754">
        <v>1</v>
      </c>
      <c r="BL1754">
        <v>0</v>
      </c>
      <c r="BO1754">
        <v>0</v>
      </c>
      <c r="BP1754">
        <v>0</v>
      </c>
      <c r="BW1754" t="str">
        <f>"14:52:09.402"</f>
        <v>14:52:09.402</v>
      </c>
      <c r="CJ1754">
        <v>3</v>
      </c>
      <c r="CK1754">
        <v>2</v>
      </c>
      <c r="CL1754">
        <v>0</v>
      </c>
      <c r="CM1754">
        <v>2</v>
      </c>
      <c r="CN1754">
        <v>0</v>
      </c>
      <c r="CO1754">
        <v>7</v>
      </c>
      <c r="CP1754" t="s">
        <v>119</v>
      </c>
      <c r="CQ1754">
        <v>232</v>
      </c>
      <c r="CR1754">
        <v>1</v>
      </c>
      <c r="CW1754">
        <v>15692333</v>
      </c>
      <c r="CY1754">
        <v>1</v>
      </c>
      <c r="CZ1754">
        <v>0</v>
      </c>
      <c r="DA1754">
        <v>0</v>
      </c>
      <c r="DB1754">
        <v>0</v>
      </c>
      <c r="DC1754">
        <v>0</v>
      </c>
      <c r="DD1754">
        <v>1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>"12/16/2021 14:52:09.616"</f>
        <v>12/16/2021 14:52:09.616</v>
      </c>
      <c r="C1755" t="str">
        <f t="shared" si="85"/>
        <v>FFDFD3C0</v>
      </c>
      <c r="D1755" t="s">
        <v>124</v>
      </c>
      <c r="E1755">
        <v>10</v>
      </c>
      <c r="F1755">
        <v>1010</v>
      </c>
      <c r="G1755" t="s">
        <v>130</v>
      </c>
      <c r="J1755" t="s">
        <v>125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>"14:52:09.398"</f>
        <v>14:52:09.398</v>
      </c>
      <c r="T1755" t="str">
        <f>"14:52:08.898"</f>
        <v>14:52:08.898</v>
      </c>
      <c r="U1755" t="str">
        <f t="shared" si="87"/>
        <v>A0F928</v>
      </c>
      <c r="V1755">
        <v>0</v>
      </c>
      <c r="W1755">
        <v>0</v>
      </c>
      <c r="X1755">
        <v>2</v>
      </c>
      <c r="Z1755">
        <v>0</v>
      </c>
      <c r="AA1755">
        <v>9</v>
      </c>
      <c r="AB1755">
        <v>3</v>
      </c>
      <c r="AC1755">
        <v>0</v>
      </c>
      <c r="AD1755">
        <v>10</v>
      </c>
      <c r="AE1755">
        <v>0</v>
      </c>
      <c r="AF1755">
        <v>3</v>
      </c>
      <c r="AG1755">
        <v>2</v>
      </c>
      <c r="AH1755">
        <v>1</v>
      </c>
      <c r="AI1755" t="s">
        <v>938</v>
      </c>
      <c r="AJ1755">
        <v>35.834291</v>
      </c>
      <c r="AK1755" t="s">
        <v>939</v>
      </c>
      <c r="AL1755">
        <v>-84.007644999999997</v>
      </c>
      <c r="AM1755">
        <v>25</v>
      </c>
      <c r="AN1755">
        <v>1625</v>
      </c>
      <c r="AO1755" t="s">
        <v>118</v>
      </c>
      <c r="AP1755">
        <v>92</v>
      </c>
      <c r="AQ1755">
        <v>87</v>
      </c>
      <c r="AR1755">
        <v>-64</v>
      </c>
      <c r="AZ1755">
        <v>300</v>
      </c>
      <c r="BA1755">
        <v>1</v>
      </c>
      <c r="BB1755" t="str">
        <f t="shared" si="86"/>
        <v xml:space="preserve">N162AM  </v>
      </c>
      <c r="BC1755">
        <v>1</v>
      </c>
      <c r="BE1755">
        <v>0</v>
      </c>
      <c r="BF1755">
        <v>0</v>
      </c>
      <c r="BG1755">
        <v>0</v>
      </c>
      <c r="BH1755">
        <v>1875</v>
      </c>
      <c r="BI1755">
        <v>1</v>
      </c>
      <c r="BJ1755">
        <v>1</v>
      </c>
      <c r="BK1755">
        <v>1</v>
      </c>
      <c r="BL1755">
        <v>0</v>
      </c>
      <c r="BO1755">
        <v>0</v>
      </c>
      <c r="BP1755">
        <v>0</v>
      </c>
      <c r="BW1755" t="str">
        <f>"14:52:09.402"</f>
        <v>14:52:09.402</v>
      </c>
      <c r="CJ1755">
        <v>3</v>
      </c>
      <c r="CK1755">
        <v>2</v>
      </c>
      <c r="CL1755">
        <v>0</v>
      </c>
      <c r="CM1755">
        <v>2</v>
      </c>
      <c r="CN1755">
        <v>0</v>
      </c>
      <c r="CO1755">
        <v>7</v>
      </c>
      <c r="CP1755" t="s">
        <v>119</v>
      </c>
      <c r="CQ1755">
        <v>232</v>
      </c>
      <c r="CR1755">
        <v>1</v>
      </c>
      <c r="CW1755">
        <v>15692333</v>
      </c>
      <c r="CY1755">
        <v>1</v>
      </c>
      <c r="CZ1755">
        <v>0</v>
      </c>
      <c r="DA1755">
        <v>1</v>
      </c>
      <c r="DB1755">
        <v>0</v>
      </c>
      <c r="DC1755">
        <v>0</v>
      </c>
      <c r="DD1755">
        <v>1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3">
      <c r="A1756" t="str">
        <f>"12/16/2021 14:52:09.616"</f>
        <v>12/16/2021 14:52:09.616</v>
      </c>
      <c r="C1756" t="str">
        <f t="shared" si="85"/>
        <v>FFDFD3C0</v>
      </c>
      <c r="D1756" t="s">
        <v>124</v>
      </c>
      <c r="E1756">
        <v>5</v>
      </c>
      <c r="F1756">
        <v>1005</v>
      </c>
      <c r="G1756" t="s">
        <v>114</v>
      </c>
      <c r="J1756" t="s">
        <v>125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>"14:52:09.398"</f>
        <v>14:52:09.398</v>
      </c>
      <c r="T1756" t="str">
        <f>"14:52:08.898"</f>
        <v>14:52:08.898</v>
      </c>
      <c r="U1756" t="str">
        <f t="shared" si="87"/>
        <v>A0F928</v>
      </c>
      <c r="V1756">
        <v>0</v>
      </c>
      <c r="W1756">
        <v>0</v>
      </c>
      <c r="X1756">
        <v>2</v>
      </c>
      <c r="Z1756">
        <v>0</v>
      </c>
      <c r="AA1756">
        <v>9</v>
      </c>
      <c r="AB1756">
        <v>3</v>
      </c>
      <c r="AC1756">
        <v>0</v>
      </c>
      <c r="AD1756">
        <v>10</v>
      </c>
      <c r="AE1756">
        <v>0</v>
      </c>
      <c r="AF1756">
        <v>3</v>
      </c>
      <c r="AG1756">
        <v>2</v>
      </c>
      <c r="AH1756">
        <v>1</v>
      </c>
      <c r="AI1756" t="s">
        <v>938</v>
      </c>
      <c r="AJ1756">
        <v>35.834291</v>
      </c>
      <c r="AK1756" t="s">
        <v>939</v>
      </c>
      <c r="AL1756">
        <v>-84.007644999999997</v>
      </c>
      <c r="AM1756">
        <v>25</v>
      </c>
      <c r="AN1756">
        <v>1625</v>
      </c>
      <c r="AO1756" t="s">
        <v>118</v>
      </c>
      <c r="AP1756">
        <v>92</v>
      </c>
      <c r="AQ1756">
        <v>87</v>
      </c>
      <c r="AR1756">
        <v>-64</v>
      </c>
      <c r="AZ1756">
        <v>300</v>
      </c>
      <c r="BA1756">
        <v>1</v>
      </c>
      <c r="BB1756" t="str">
        <f t="shared" si="86"/>
        <v xml:space="preserve">N162AM  </v>
      </c>
      <c r="BC1756">
        <v>1</v>
      </c>
      <c r="BE1756">
        <v>0</v>
      </c>
      <c r="BF1756">
        <v>0</v>
      </c>
      <c r="BG1756">
        <v>0</v>
      </c>
      <c r="BH1756">
        <v>1875</v>
      </c>
      <c r="BI1756">
        <v>1</v>
      </c>
      <c r="BJ1756">
        <v>1</v>
      </c>
      <c r="BK1756">
        <v>1</v>
      </c>
      <c r="BL1756">
        <v>0</v>
      </c>
      <c r="BO1756">
        <v>0</v>
      </c>
      <c r="BP1756">
        <v>0</v>
      </c>
      <c r="BW1756" t="str">
        <f>"14:52:09.402"</f>
        <v>14:52:09.402</v>
      </c>
      <c r="CJ1756">
        <v>3</v>
      </c>
      <c r="CK1756">
        <v>2</v>
      </c>
      <c r="CL1756">
        <v>0</v>
      </c>
      <c r="CM1756">
        <v>2</v>
      </c>
      <c r="CN1756">
        <v>0</v>
      </c>
      <c r="CO1756">
        <v>7</v>
      </c>
      <c r="CP1756" t="s">
        <v>119</v>
      </c>
      <c r="CQ1756">
        <v>232</v>
      </c>
      <c r="CR1756">
        <v>1</v>
      </c>
      <c r="CW1756">
        <v>15692333</v>
      </c>
      <c r="CY1756">
        <v>1</v>
      </c>
      <c r="CZ1756">
        <v>0</v>
      </c>
      <c r="DA1756">
        <v>1</v>
      </c>
      <c r="DB1756">
        <v>0</v>
      </c>
      <c r="DC1756">
        <v>0</v>
      </c>
      <c r="DD1756">
        <v>1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3">
      <c r="A1757" t="str">
        <f>"12/16/2021 14:52:09.633"</f>
        <v>12/16/2021 14:52:09.633</v>
      </c>
      <c r="C1757" t="str">
        <f t="shared" si="85"/>
        <v>FFDFD3C0</v>
      </c>
      <c r="D1757" t="s">
        <v>113</v>
      </c>
      <c r="E1757">
        <v>8</v>
      </c>
      <c r="H1757">
        <v>176</v>
      </c>
      <c r="I1757" t="s">
        <v>114</v>
      </c>
      <c r="J1757" t="s">
        <v>115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>"14:52:09.398"</f>
        <v>14:52:09.398</v>
      </c>
      <c r="T1757" t="str">
        <f>"14:52:08.898"</f>
        <v>14:52:08.898</v>
      </c>
      <c r="U1757" t="str">
        <f t="shared" si="87"/>
        <v>A0F928</v>
      </c>
      <c r="V1757">
        <v>0</v>
      </c>
      <c r="W1757">
        <v>0</v>
      </c>
      <c r="X1757">
        <v>2</v>
      </c>
      <c r="Z1757">
        <v>0</v>
      </c>
      <c r="AA1757">
        <v>9</v>
      </c>
      <c r="AB1757">
        <v>3</v>
      </c>
      <c r="AC1757">
        <v>0</v>
      </c>
      <c r="AD1757">
        <v>10</v>
      </c>
      <c r="AE1757">
        <v>0</v>
      </c>
      <c r="AF1757">
        <v>3</v>
      </c>
      <c r="AG1757">
        <v>2</v>
      </c>
      <c r="AH1757">
        <v>1</v>
      </c>
      <c r="AI1757" t="s">
        <v>938</v>
      </c>
      <c r="AJ1757">
        <v>35.834291</v>
      </c>
      <c r="AK1757" t="s">
        <v>939</v>
      </c>
      <c r="AL1757">
        <v>-84.007644999999997</v>
      </c>
      <c r="AM1757">
        <v>25</v>
      </c>
      <c r="AN1757">
        <v>1625</v>
      </c>
      <c r="AO1757" t="s">
        <v>118</v>
      </c>
      <c r="AP1757">
        <v>92</v>
      </c>
      <c r="AQ1757">
        <v>87</v>
      </c>
      <c r="AR1757">
        <v>-64</v>
      </c>
      <c r="AZ1757">
        <v>300</v>
      </c>
      <c r="BA1757">
        <v>1</v>
      </c>
      <c r="BB1757" t="str">
        <f t="shared" si="86"/>
        <v xml:space="preserve">N162AM  </v>
      </c>
      <c r="BC1757">
        <v>1</v>
      </c>
      <c r="BE1757">
        <v>0</v>
      </c>
      <c r="BF1757">
        <v>0</v>
      </c>
      <c r="BG1757">
        <v>0</v>
      </c>
      <c r="BH1757">
        <v>1875</v>
      </c>
      <c r="BI1757">
        <v>1</v>
      </c>
      <c r="BJ1757">
        <v>1</v>
      </c>
      <c r="BK1757">
        <v>1</v>
      </c>
      <c r="BL1757">
        <v>0</v>
      </c>
      <c r="BO1757">
        <v>0</v>
      </c>
      <c r="BP1757">
        <v>0</v>
      </c>
      <c r="BW1757" t="str">
        <f>"14:52:09.402"</f>
        <v>14:52:09.402</v>
      </c>
      <c r="CJ1757">
        <v>3</v>
      </c>
      <c r="CK1757">
        <v>2</v>
      </c>
      <c r="CL1757">
        <v>0</v>
      </c>
      <c r="CM1757">
        <v>2</v>
      </c>
      <c r="CN1757">
        <v>0</v>
      </c>
      <c r="CO1757">
        <v>7</v>
      </c>
      <c r="CP1757" t="s">
        <v>119</v>
      </c>
      <c r="CQ1757">
        <v>232</v>
      </c>
      <c r="CR1757">
        <v>1</v>
      </c>
      <c r="CW1757">
        <v>15692333</v>
      </c>
      <c r="CY1757">
        <v>1</v>
      </c>
      <c r="CZ1757">
        <v>0</v>
      </c>
      <c r="DA1757">
        <v>1</v>
      </c>
      <c r="DB1757">
        <v>0</v>
      </c>
      <c r="DC1757">
        <v>0</v>
      </c>
      <c r="DD1757">
        <v>1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3">
      <c r="A1758" t="str">
        <f>"12/16/2021 14:52:10.742"</f>
        <v>12/16/2021 14:52:10.742</v>
      </c>
      <c r="C1758" t="str">
        <f t="shared" si="85"/>
        <v>FFDFD3C0</v>
      </c>
      <c r="D1758" t="s">
        <v>133</v>
      </c>
      <c r="E1758">
        <v>44</v>
      </c>
      <c r="H1758">
        <v>131</v>
      </c>
      <c r="I1758" t="s">
        <v>134</v>
      </c>
      <c r="J1758" t="s">
        <v>135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>"14:52:10.516"</f>
        <v>14:52:10.516</v>
      </c>
      <c r="T1758" t="str">
        <f>"14:52:10.016"</f>
        <v>14:52:10.016</v>
      </c>
      <c r="U1758" t="str">
        <f t="shared" si="87"/>
        <v>A0F928</v>
      </c>
      <c r="V1758">
        <v>0</v>
      </c>
      <c r="W1758">
        <v>0</v>
      </c>
      <c r="X1758">
        <v>2</v>
      </c>
      <c r="Z1758">
        <v>0</v>
      </c>
      <c r="AA1758">
        <v>9</v>
      </c>
      <c r="AB1758">
        <v>3</v>
      </c>
      <c r="AC1758">
        <v>0</v>
      </c>
      <c r="AD1758">
        <v>10</v>
      </c>
      <c r="AE1758">
        <v>0</v>
      </c>
      <c r="AF1758">
        <v>3</v>
      </c>
      <c r="AG1758">
        <v>2</v>
      </c>
      <c r="AH1758">
        <v>1</v>
      </c>
      <c r="AI1758" t="s">
        <v>940</v>
      </c>
      <c r="AJ1758">
        <v>35.834741999999999</v>
      </c>
      <c r="AK1758" t="s">
        <v>941</v>
      </c>
      <c r="AL1758">
        <v>-84.007064999999997</v>
      </c>
      <c r="AM1758">
        <v>25</v>
      </c>
      <c r="AN1758">
        <v>1625</v>
      </c>
      <c r="AO1758" t="s">
        <v>118</v>
      </c>
      <c r="AP1758">
        <v>93</v>
      </c>
      <c r="AQ1758">
        <v>87</v>
      </c>
      <c r="AR1758">
        <v>0</v>
      </c>
      <c r="AZ1758">
        <v>300</v>
      </c>
      <c r="BA1758">
        <v>1</v>
      </c>
      <c r="BB1758" t="str">
        <f t="shared" si="86"/>
        <v xml:space="preserve">N162AM  </v>
      </c>
      <c r="BC1758">
        <v>1</v>
      </c>
      <c r="BE1758">
        <v>0</v>
      </c>
      <c r="BF1758">
        <v>0</v>
      </c>
      <c r="BG1758">
        <v>0</v>
      </c>
      <c r="BH1758">
        <v>1875</v>
      </c>
      <c r="BI1758">
        <v>1</v>
      </c>
      <c r="BJ1758">
        <v>1</v>
      </c>
      <c r="BK1758">
        <v>1</v>
      </c>
      <c r="BL1758">
        <v>0</v>
      </c>
      <c r="BO1758">
        <v>0</v>
      </c>
      <c r="BP1758">
        <v>0</v>
      </c>
      <c r="BW1758" t="str">
        <f>"14:52:10.521"</f>
        <v>14:52:10.521</v>
      </c>
      <c r="CJ1758">
        <v>3</v>
      </c>
      <c r="CK1758">
        <v>2</v>
      </c>
      <c r="CL1758">
        <v>0</v>
      </c>
      <c r="CM1758">
        <v>2</v>
      </c>
      <c r="CN1758">
        <v>0</v>
      </c>
      <c r="CO1758">
        <v>7</v>
      </c>
      <c r="CP1758" t="s">
        <v>119</v>
      </c>
      <c r="CQ1758">
        <v>232</v>
      </c>
      <c r="CR1758">
        <v>2</v>
      </c>
      <c r="CW1758">
        <v>6903729</v>
      </c>
      <c r="CY1758">
        <v>1</v>
      </c>
      <c r="CZ1758">
        <v>0</v>
      </c>
      <c r="DA1758">
        <v>0</v>
      </c>
      <c r="DB1758">
        <v>0</v>
      </c>
      <c r="DC1758">
        <v>0</v>
      </c>
      <c r="DD1758">
        <v>1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3">
      <c r="A1759" t="str">
        <f>"12/16/2021 14:52:10.742"</f>
        <v>12/16/2021 14:52:10.742</v>
      </c>
      <c r="C1759" t="str">
        <f t="shared" si="85"/>
        <v>FFDFD3C0</v>
      </c>
      <c r="D1759" t="s">
        <v>124</v>
      </c>
      <c r="E1759">
        <v>5</v>
      </c>
      <c r="F1759">
        <v>1005</v>
      </c>
      <c r="G1759" t="s">
        <v>114</v>
      </c>
      <c r="J1759" t="s">
        <v>125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>"14:52:10.516"</f>
        <v>14:52:10.516</v>
      </c>
      <c r="T1759" t="str">
        <f>"14:52:10.016"</f>
        <v>14:52:10.016</v>
      </c>
      <c r="U1759" t="str">
        <f t="shared" si="87"/>
        <v>A0F928</v>
      </c>
      <c r="V1759">
        <v>0</v>
      </c>
      <c r="W1759">
        <v>0</v>
      </c>
      <c r="X1759">
        <v>2</v>
      </c>
      <c r="Z1759">
        <v>0</v>
      </c>
      <c r="AA1759">
        <v>9</v>
      </c>
      <c r="AB1759">
        <v>3</v>
      </c>
      <c r="AC1759">
        <v>0</v>
      </c>
      <c r="AD1759">
        <v>10</v>
      </c>
      <c r="AE1759">
        <v>0</v>
      </c>
      <c r="AF1759">
        <v>3</v>
      </c>
      <c r="AG1759">
        <v>2</v>
      </c>
      <c r="AH1759">
        <v>1</v>
      </c>
      <c r="AI1759" t="s">
        <v>940</v>
      </c>
      <c r="AJ1759">
        <v>35.834741999999999</v>
      </c>
      <c r="AK1759" t="s">
        <v>941</v>
      </c>
      <c r="AL1759">
        <v>-84.007064999999997</v>
      </c>
      <c r="AM1759">
        <v>25</v>
      </c>
      <c r="AN1759">
        <v>1625</v>
      </c>
      <c r="AO1759" t="s">
        <v>118</v>
      </c>
      <c r="AP1759">
        <v>93</v>
      </c>
      <c r="AQ1759">
        <v>87</v>
      </c>
      <c r="AR1759">
        <v>0</v>
      </c>
      <c r="AZ1759">
        <v>300</v>
      </c>
      <c r="BA1759">
        <v>1</v>
      </c>
      <c r="BB1759" t="str">
        <f t="shared" si="86"/>
        <v xml:space="preserve">N162AM  </v>
      </c>
      <c r="BC1759">
        <v>1</v>
      </c>
      <c r="BE1759">
        <v>0</v>
      </c>
      <c r="BF1759">
        <v>0</v>
      </c>
      <c r="BG1759">
        <v>0</v>
      </c>
      <c r="BH1759">
        <v>1875</v>
      </c>
      <c r="BI1759">
        <v>1</v>
      </c>
      <c r="BJ1759">
        <v>1</v>
      </c>
      <c r="BK1759">
        <v>1</v>
      </c>
      <c r="BL1759">
        <v>0</v>
      </c>
      <c r="BO1759">
        <v>0</v>
      </c>
      <c r="BP1759">
        <v>0</v>
      </c>
      <c r="BW1759" t="str">
        <f>"14:52:10.521"</f>
        <v>14:52:10.521</v>
      </c>
      <c r="CJ1759">
        <v>3</v>
      </c>
      <c r="CK1759">
        <v>2</v>
      </c>
      <c r="CL1759">
        <v>0</v>
      </c>
      <c r="CM1759">
        <v>2</v>
      </c>
      <c r="CN1759">
        <v>0</v>
      </c>
      <c r="CO1759">
        <v>7</v>
      </c>
      <c r="CP1759" t="s">
        <v>119</v>
      </c>
      <c r="CQ1759">
        <v>232</v>
      </c>
      <c r="CR1759">
        <v>2</v>
      </c>
      <c r="CW1759">
        <v>6903729</v>
      </c>
      <c r="CY1759">
        <v>1</v>
      </c>
      <c r="CZ1759">
        <v>0</v>
      </c>
      <c r="DA1759">
        <v>1</v>
      </c>
      <c r="DB1759">
        <v>0</v>
      </c>
      <c r="DC1759">
        <v>0</v>
      </c>
      <c r="DD1759">
        <v>1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>"12/16/2021 14:52:10.742"</f>
        <v>12/16/2021 14:52:10.742</v>
      </c>
      <c r="C1760" t="str">
        <f t="shared" si="85"/>
        <v>FFDFD3C0</v>
      </c>
      <c r="D1760" t="s">
        <v>113</v>
      </c>
      <c r="E1760">
        <v>8</v>
      </c>
      <c r="H1760">
        <v>176</v>
      </c>
      <c r="I1760" t="s">
        <v>114</v>
      </c>
      <c r="J1760" t="s">
        <v>115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>"14:52:10.516"</f>
        <v>14:52:10.516</v>
      </c>
      <c r="T1760" t="str">
        <f>"14:52:10.016"</f>
        <v>14:52:10.016</v>
      </c>
      <c r="U1760" t="str">
        <f t="shared" si="87"/>
        <v>A0F928</v>
      </c>
      <c r="V1760">
        <v>0</v>
      </c>
      <c r="W1760">
        <v>0</v>
      </c>
      <c r="X1760">
        <v>2</v>
      </c>
      <c r="Z1760">
        <v>0</v>
      </c>
      <c r="AA1760">
        <v>9</v>
      </c>
      <c r="AB1760">
        <v>3</v>
      </c>
      <c r="AC1760">
        <v>0</v>
      </c>
      <c r="AD1760">
        <v>10</v>
      </c>
      <c r="AE1760">
        <v>0</v>
      </c>
      <c r="AF1760">
        <v>3</v>
      </c>
      <c r="AG1760">
        <v>2</v>
      </c>
      <c r="AH1760">
        <v>1</v>
      </c>
      <c r="AI1760" t="s">
        <v>940</v>
      </c>
      <c r="AJ1760">
        <v>35.834741999999999</v>
      </c>
      <c r="AK1760" t="s">
        <v>941</v>
      </c>
      <c r="AL1760">
        <v>-84.007064999999997</v>
      </c>
      <c r="AM1760">
        <v>25</v>
      </c>
      <c r="AN1760">
        <v>1625</v>
      </c>
      <c r="AO1760" t="s">
        <v>118</v>
      </c>
      <c r="AP1760">
        <v>93</v>
      </c>
      <c r="AQ1760">
        <v>87</v>
      </c>
      <c r="AR1760">
        <v>0</v>
      </c>
      <c r="AZ1760">
        <v>300</v>
      </c>
      <c r="BA1760">
        <v>1</v>
      </c>
      <c r="BB1760" t="str">
        <f t="shared" si="86"/>
        <v xml:space="preserve">N162AM  </v>
      </c>
      <c r="BC1760">
        <v>1</v>
      </c>
      <c r="BE1760">
        <v>0</v>
      </c>
      <c r="BF1760">
        <v>0</v>
      </c>
      <c r="BG1760">
        <v>0</v>
      </c>
      <c r="BH1760">
        <v>1875</v>
      </c>
      <c r="BI1760">
        <v>1</v>
      </c>
      <c r="BJ1760">
        <v>1</v>
      </c>
      <c r="BK1760">
        <v>1</v>
      </c>
      <c r="BL1760">
        <v>0</v>
      </c>
      <c r="BO1760">
        <v>0</v>
      </c>
      <c r="BP1760">
        <v>0</v>
      </c>
      <c r="BW1760" t="str">
        <f>"14:52:10.521"</f>
        <v>14:52:10.521</v>
      </c>
      <c r="CJ1760">
        <v>3</v>
      </c>
      <c r="CK1760">
        <v>2</v>
      </c>
      <c r="CL1760">
        <v>0</v>
      </c>
      <c r="CM1760">
        <v>2</v>
      </c>
      <c r="CN1760">
        <v>0</v>
      </c>
      <c r="CO1760">
        <v>7</v>
      </c>
      <c r="CP1760" t="s">
        <v>119</v>
      </c>
      <c r="CQ1760">
        <v>232</v>
      </c>
      <c r="CR1760">
        <v>2</v>
      </c>
      <c r="CW1760">
        <v>6903729</v>
      </c>
      <c r="CY1760">
        <v>1</v>
      </c>
      <c r="CZ1760">
        <v>0</v>
      </c>
      <c r="DA1760">
        <v>1</v>
      </c>
      <c r="DB1760">
        <v>0</v>
      </c>
      <c r="DC1760">
        <v>0</v>
      </c>
      <c r="DD1760">
        <v>1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>"12/16/2021 14:52:10.742"</f>
        <v>12/16/2021 14:52:10.742</v>
      </c>
      <c r="C1761" t="str">
        <f t="shared" si="85"/>
        <v>FFDFD3C0</v>
      </c>
      <c r="D1761" t="s">
        <v>124</v>
      </c>
      <c r="E1761">
        <v>10</v>
      </c>
      <c r="F1761">
        <v>1010</v>
      </c>
      <c r="G1761" t="s">
        <v>130</v>
      </c>
      <c r="J1761" t="s">
        <v>125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>"14:52:10.516"</f>
        <v>14:52:10.516</v>
      </c>
      <c r="T1761" t="str">
        <f>"14:52:10.016"</f>
        <v>14:52:10.016</v>
      </c>
      <c r="U1761" t="str">
        <f t="shared" si="87"/>
        <v>A0F928</v>
      </c>
      <c r="V1761">
        <v>0</v>
      </c>
      <c r="W1761">
        <v>0</v>
      </c>
      <c r="X1761">
        <v>2</v>
      </c>
      <c r="Z1761">
        <v>0</v>
      </c>
      <c r="AA1761">
        <v>9</v>
      </c>
      <c r="AB1761">
        <v>3</v>
      </c>
      <c r="AC1761">
        <v>0</v>
      </c>
      <c r="AD1761">
        <v>10</v>
      </c>
      <c r="AE1761">
        <v>0</v>
      </c>
      <c r="AF1761">
        <v>3</v>
      </c>
      <c r="AG1761">
        <v>2</v>
      </c>
      <c r="AH1761">
        <v>1</v>
      </c>
      <c r="AI1761" t="s">
        <v>940</v>
      </c>
      <c r="AJ1761">
        <v>35.834741999999999</v>
      </c>
      <c r="AK1761" t="s">
        <v>941</v>
      </c>
      <c r="AL1761">
        <v>-84.007064999999997</v>
      </c>
      <c r="AM1761">
        <v>25</v>
      </c>
      <c r="AN1761">
        <v>1625</v>
      </c>
      <c r="AO1761" t="s">
        <v>118</v>
      </c>
      <c r="AP1761">
        <v>93</v>
      </c>
      <c r="AQ1761">
        <v>87</v>
      </c>
      <c r="AR1761">
        <v>0</v>
      </c>
      <c r="AZ1761">
        <v>300</v>
      </c>
      <c r="BA1761">
        <v>1</v>
      </c>
      <c r="BB1761" t="str">
        <f t="shared" si="86"/>
        <v xml:space="preserve">N162AM  </v>
      </c>
      <c r="BC1761">
        <v>1</v>
      </c>
      <c r="BE1761">
        <v>0</v>
      </c>
      <c r="BF1761">
        <v>0</v>
      </c>
      <c r="BG1761">
        <v>0</v>
      </c>
      <c r="BH1761">
        <v>1875</v>
      </c>
      <c r="BI1761">
        <v>1</v>
      </c>
      <c r="BJ1761">
        <v>1</v>
      </c>
      <c r="BK1761">
        <v>1</v>
      </c>
      <c r="BL1761">
        <v>0</v>
      </c>
      <c r="BO1761">
        <v>0</v>
      </c>
      <c r="BP1761">
        <v>0</v>
      </c>
      <c r="BW1761" t="str">
        <f>"14:52:10.521"</f>
        <v>14:52:10.521</v>
      </c>
      <c r="CJ1761">
        <v>3</v>
      </c>
      <c r="CK1761">
        <v>2</v>
      </c>
      <c r="CL1761">
        <v>0</v>
      </c>
      <c r="CM1761">
        <v>2</v>
      </c>
      <c r="CN1761">
        <v>0</v>
      </c>
      <c r="CO1761">
        <v>7</v>
      </c>
      <c r="CP1761" t="s">
        <v>119</v>
      </c>
      <c r="CQ1761">
        <v>232</v>
      </c>
      <c r="CR1761">
        <v>2</v>
      </c>
      <c r="CW1761">
        <v>6903729</v>
      </c>
      <c r="CY1761">
        <v>1</v>
      </c>
      <c r="CZ1761">
        <v>0</v>
      </c>
      <c r="DA1761">
        <v>1</v>
      </c>
      <c r="DB1761">
        <v>0</v>
      </c>
      <c r="DC1761">
        <v>0</v>
      </c>
      <c r="DD1761">
        <v>1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>"12/16/2021 14:52:11.695"</f>
        <v>12/16/2021 14:52:11.695</v>
      </c>
      <c r="C1762" t="str">
        <f t="shared" si="85"/>
        <v>FFDFD3C0</v>
      </c>
      <c r="D1762" t="s">
        <v>124</v>
      </c>
      <c r="E1762">
        <v>10</v>
      </c>
      <c r="F1762">
        <v>1010</v>
      </c>
      <c r="G1762" t="s">
        <v>130</v>
      </c>
      <c r="J1762" t="s">
        <v>125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>"14:52:11.500"</f>
        <v>14:52:11.500</v>
      </c>
      <c r="T1762" t="str">
        <f>"14:52:11.100"</f>
        <v>14:52:11.100</v>
      </c>
      <c r="U1762" t="str">
        <f t="shared" si="87"/>
        <v>A0F928</v>
      </c>
      <c r="V1762">
        <v>0</v>
      </c>
      <c r="W1762">
        <v>0</v>
      </c>
      <c r="X1762">
        <v>2</v>
      </c>
      <c r="Z1762">
        <v>0</v>
      </c>
      <c r="AA1762">
        <v>9</v>
      </c>
      <c r="AB1762">
        <v>3</v>
      </c>
      <c r="AC1762">
        <v>0</v>
      </c>
      <c r="AD1762">
        <v>10</v>
      </c>
      <c r="AE1762">
        <v>0</v>
      </c>
      <c r="AF1762">
        <v>3</v>
      </c>
      <c r="AG1762">
        <v>2</v>
      </c>
      <c r="AH1762">
        <v>1</v>
      </c>
      <c r="AI1762" t="s">
        <v>942</v>
      </c>
      <c r="AJ1762">
        <v>35.835127999999997</v>
      </c>
      <c r="AK1762" t="s">
        <v>943</v>
      </c>
      <c r="AL1762">
        <v>-84.006614999999996</v>
      </c>
      <c r="AM1762">
        <v>25</v>
      </c>
      <c r="AN1762">
        <v>1625</v>
      </c>
      <c r="AO1762" t="s">
        <v>118</v>
      </c>
      <c r="AP1762">
        <v>92</v>
      </c>
      <c r="AQ1762">
        <v>86</v>
      </c>
      <c r="AR1762">
        <v>-128</v>
      </c>
      <c r="AZ1762">
        <v>300</v>
      </c>
      <c r="BA1762">
        <v>1</v>
      </c>
      <c r="BB1762" t="str">
        <f t="shared" si="86"/>
        <v xml:space="preserve">N162AM  </v>
      </c>
      <c r="BC1762">
        <v>1</v>
      </c>
      <c r="BE1762">
        <v>0</v>
      </c>
      <c r="BF1762">
        <v>0</v>
      </c>
      <c r="BG1762">
        <v>0</v>
      </c>
      <c r="BH1762">
        <v>1875</v>
      </c>
      <c r="BI1762">
        <v>1</v>
      </c>
      <c r="BJ1762">
        <v>1</v>
      </c>
      <c r="BK1762">
        <v>1</v>
      </c>
      <c r="BL1762">
        <v>0</v>
      </c>
      <c r="BO1762">
        <v>0</v>
      </c>
      <c r="BP1762">
        <v>0</v>
      </c>
      <c r="BW1762" t="str">
        <f>"14:52:11.505"</f>
        <v>14:52:11.505</v>
      </c>
      <c r="CJ1762">
        <v>3</v>
      </c>
      <c r="CK1762">
        <v>2</v>
      </c>
      <c r="CL1762">
        <v>0</v>
      </c>
      <c r="CM1762">
        <v>2</v>
      </c>
      <c r="CN1762">
        <v>0</v>
      </c>
      <c r="CO1762">
        <v>7</v>
      </c>
      <c r="CP1762" t="s">
        <v>119</v>
      </c>
      <c r="CQ1762">
        <v>232</v>
      </c>
      <c r="CR1762">
        <v>2</v>
      </c>
      <c r="CW1762">
        <v>6905230</v>
      </c>
      <c r="CY1762">
        <v>1</v>
      </c>
      <c r="CZ1762">
        <v>0</v>
      </c>
      <c r="DA1762">
        <v>0</v>
      </c>
      <c r="DB1762">
        <v>0</v>
      </c>
      <c r="DC1762">
        <v>0</v>
      </c>
      <c r="DD1762">
        <v>1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>"12/16/2021 14:52:11.695"</f>
        <v>12/16/2021 14:52:11.695</v>
      </c>
      <c r="C1763" t="str">
        <f t="shared" si="85"/>
        <v>FFDFD3C0</v>
      </c>
      <c r="D1763" t="s">
        <v>113</v>
      </c>
      <c r="E1763">
        <v>8</v>
      </c>
      <c r="H1763">
        <v>176</v>
      </c>
      <c r="I1763" t="s">
        <v>114</v>
      </c>
      <c r="J1763" t="s">
        <v>115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>"14:52:11.500"</f>
        <v>14:52:11.500</v>
      </c>
      <c r="T1763" t="str">
        <f>"14:52:11.100"</f>
        <v>14:52:11.100</v>
      </c>
      <c r="U1763" t="str">
        <f t="shared" si="87"/>
        <v>A0F928</v>
      </c>
      <c r="V1763">
        <v>0</v>
      </c>
      <c r="W1763">
        <v>0</v>
      </c>
      <c r="X1763">
        <v>2</v>
      </c>
      <c r="Z1763">
        <v>0</v>
      </c>
      <c r="AA1763">
        <v>9</v>
      </c>
      <c r="AB1763">
        <v>3</v>
      </c>
      <c r="AC1763">
        <v>0</v>
      </c>
      <c r="AD1763">
        <v>10</v>
      </c>
      <c r="AE1763">
        <v>0</v>
      </c>
      <c r="AF1763">
        <v>3</v>
      </c>
      <c r="AG1763">
        <v>2</v>
      </c>
      <c r="AH1763">
        <v>1</v>
      </c>
      <c r="AI1763" t="s">
        <v>942</v>
      </c>
      <c r="AJ1763">
        <v>35.835127999999997</v>
      </c>
      <c r="AK1763" t="s">
        <v>943</v>
      </c>
      <c r="AL1763">
        <v>-84.006614999999996</v>
      </c>
      <c r="AM1763">
        <v>25</v>
      </c>
      <c r="AN1763">
        <v>1625</v>
      </c>
      <c r="AO1763" t="s">
        <v>118</v>
      </c>
      <c r="AP1763">
        <v>92</v>
      </c>
      <c r="AQ1763">
        <v>86</v>
      </c>
      <c r="AR1763">
        <v>-128</v>
      </c>
      <c r="AZ1763">
        <v>300</v>
      </c>
      <c r="BA1763">
        <v>1</v>
      </c>
      <c r="BB1763" t="str">
        <f t="shared" si="86"/>
        <v xml:space="preserve">N162AM  </v>
      </c>
      <c r="BC1763">
        <v>1</v>
      </c>
      <c r="BE1763">
        <v>0</v>
      </c>
      <c r="BF1763">
        <v>0</v>
      </c>
      <c r="BG1763">
        <v>0</v>
      </c>
      <c r="BH1763">
        <v>1875</v>
      </c>
      <c r="BI1763">
        <v>1</v>
      </c>
      <c r="BJ1763">
        <v>1</v>
      </c>
      <c r="BK1763">
        <v>1</v>
      </c>
      <c r="BL1763">
        <v>0</v>
      </c>
      <c r="BO1763">
        <v>0</v>
      </c>
      <c r="BP1763">
        <v>0</v>
      </c>
      <c r="BW1763" t="str">
        <f>"14:52:11.505"</f>
        <v>14:52:11.505</v>
      </c>
      <c r="CJ1763">
        <v>3</v>
      </c>
      <c r="CK1763">
        <v>2</v>
      </c>
      <c r="CL1763">
        <v>0</v>
      </c>
      <c r="CM1763">
        <v>2</v>
      </c>
      <c r="CN1763">
        <v>0</v>
      </c>
      <c r="CO1763">
        <v>7</v>
      </c>
      <c r="CP1763" t="s">
        <v>119</v>
      </c>
      <c r="CQ1763">
        <v>232</v>
      </c>
      <c r="CR1763">
        <v>2</v>
      </c>
      <c r="CW1763">
        <v>6905230</v>
      </c>
      <c r="CY1763">
        <v>1</v>
      </c>
      <c r="CZ1763">
        <v>0</v>
      </c>
      <c r="DA1763">
        <v>1</v>
      </c>
      <c r="DB1763">
        <v>0</v>
      </c>
      <c r="DC1763">
        <v>0</v>
      </c>
      <c r="DD1763">
        <v>1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>"12/16/2021 14:52:11.758"</f>
        <v>12/16/2021 14:52:11.758</v>
      </c>
      <c r="C1764" t="str">
        <f t="shared" si="85"/>
        <v>FFDFD3C0</v>
      </c>
      <c r="D1764" t="s">
        <v>133</v>
      </c>
      <c r="E1764">
        <v>44</v>
      </c>
      <c r="H1764">
        <v>131</v>
      </c>
      <c r="I1764" t="s">
        <v>134</v>
      </c>
      <c r="J1764" t="s">
        <v>135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>"14:52:11.500"</f>
        <v>14:52:11.500</v>
      </c>
      <c r="T1764" t="str">
        <f>"14:52:11.100"</f>
        <v>14:52:11.100</v>
      </c>
      <c r="U1764" t="str">
        <f t="shared" si="87"/>
        <v>A0F928</v>
      </c>
      <c r="V1764">
        <v>0</v>
      </c>
      <c r="W1764">
        <v>0</v>
      </c>
      <c r="X1764">
        <v>2</v>
      </c>
      <c r="Z1764">
        <v>0</v>
      </c>
      <c r="AA1764">
        <v>9</v>
      </c>
      <c r="AB1764">
        <v>3</v>
      </c>
      <c r="AC1764">
        <v>0</v>
      </c>
      <c r="AD1764">
        <v>10</v>
      </c>
      <c r="AE1764">
        <v>0</v>
      </c>
      <c r="AF1764">
        <v>3</v>
      </c>
      <c r="AG1764">
        <v>2</v>
      </c>
      <c r="AH1764">
        <v>1</v>
      </c>
      <c r="AI1764" t="s">
        <v>942</v>
      </c>
      <c r="AJ1764">
        <v>35.835127999999997</v>
      </c>
      <c r="AK1764" t="s">
        <v>943</v>
      </c>
      <c r="AL1764">
        <v>-84.006614999999996</v>
      </c>
      <c r="AM1764">
        <v>25</v>
      </c>
      <c r="AN1764">
        <v>1625</v>
      </c>
      <c r="AO1764" t="s">
        <v>118</v>
      </c>
      <c r="AP1764">
        <v>92</v>
      </c>
      <c r="AQ1764">
        <v>86</v>
      </c>
      <c r="AR1764">
        <v>-128</v>
      </c>
      <c r="AZ1764">
        <v>300</v>
      </c>
      <c r="BA1764">
        <v>1</v>
      </c>
      <c r="BB1764" t="str">
        <f t="shared" si="86"/>
        <v xml:space="preserve">N162AM  </v>
      </c>
      <c r="BC1764">
        <v>1</v>
      </c>
      <c r="BE1764">
        <v>0</v>
      </c>
      <c r="BF1764">
        <v>0</v>
      </c>
      <c r="BG1764">
        <v>0</v>
      </c>
      <c r="BH1764">
        <v>1875</v>
      </c>
      <c r="BI1764">
        <v>1</v>
      </c>
      <c r="BJ1764">
        <v>1</v>
      </c>
      <c r="BK1764">
        <v>1</v>
      </c>
      <c r="BL1764">
        <v>0</v>
      </c>
      <c r="BO1764">
        <v>0</v>
      </c>
      <c r="BP1764">
        <v>0</v>
      </c>
      <c r="BW1764" t="str">
        <f>"14:52:11.505"</f>
        <v>14:52:11.505</v>
      </c>
      <c r="CJ1764">
        <v>3</v>
      </c>
      <c r="CK1764">
        <v>2</v>
      </c>
      <c r="CL1764">
        <v>0</v>
      </c>
      <c r="CM1764">
        <v>2</v>
      </c>
      <c r="CN1764">
        <v>0</v>
      </c>
      <c r="CO1764">
        <v>7</v>
      </c>
      <c r="CP1764" t="s">
        <v>119</v>
      </c>
      <c r="CQ1764">
        <v>232</v>
      </c>
      <c r="CR1764">
        <v>2</v>
      </c>
      <c r="CW1764">
        <v>6905230</v>
      </c>
      <c r="CY1764">
        <v>1</v>
      </c>
      <c r="CZ1764">
        <v>0</v>
      </c>
      <c r="DA1764">
        <v>1</v>
      </c>
      <c r="DB1764">
        <v>0</v>
      </c>
      <c r="DC1764">
        <v>0</v>
      </c>
      <c r="DD1764">
        <v>1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>"12/16/2021 14:52:11.758"</f>
        <v>12/16/2021 14:52:11.758</v>
      </c>
      <c r="C1765" t="str">
        <f t="shared" si="85"/>
        <v>FFDFD3C0</v>
      </c>
      <c r="D1765" t="s">
        <v>124</v>
      </c>
      <c r="E1765">
        <v>5</v>
      </c>
      <c r="F1765">
        <v>1005</v>
      </c>
      <c r="G1765" t="s">
        <v>114</v>
      </c>
      <c r="J1765" t="s">
        <v>125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>"14:52:11.500"</f>
        <v>14:52:11.500</v>
      </c>
      <c r="T1765" t="str">
        <f>"14:52:11.100"</f>
        <v>14:52:11.100</v>
      </c>
      <c r="U1765" t="str">
        <f t="shared" si="87"/>
        <v>A0F928</v>
      </c>
      <c r="V1765">
        <v>0</v>
      </c>
      <c r="W1765">
        <v>0</v>
      </c>
      <c r="X1765">
        <v>2</v>
      </c>
      <c r="Z1765">
        <v>0</v>
      </c>
      <c r="AA1765">
        <v>9</v>
      </c>
      <c r="AB1765">
        <v>3</v>
      </c>
      <c r="AC1765">
        <v>0</v>
      </c>
      <c r="AD1765">
        <v>10</v>
      </c>
      <c r="AE1765">
        <v>0</v>
      </c>
      <c r="AF1765">
        <v>3</v>
      </c>
      <c r="AG1765">
        <v>2</v>
      </c>
      <c r="AH1765">
        <v>1</v>
      </c>
      <c r="AI1765" t="s">
        <v>942</v>
      </c>
      <c r="AJ1765">
        <v>35.835127999999997</v>
      </c>
      <c r="AK1765" t="s">
        <v>943</v>
      </c>
      <c r="AL1765">
        <v>-84.006614999999996</v>
      </c>
      <c r="AM1765">
        <v>25</v>
      </c>
      <c r="AN1765">
        <v>1625</v>
      </c>
      <c r="AO1765" t="s">
        <v>118</v>
      </c>
      <c r="AP1765">
        <v>92</v>
      </c>
      <c r="AQ1765">
        <v>86</v>
      </c>
      <c r="AR1765">
        <v>-128</v>
      </c>
      <c r="AZ1765">
        <v>300</v>
      </c>
      <c r="BA1765">
        <v>1</v>
      </c>
      <c r="BB1765" t="str">
        <f t="shared" si="86"/>
        <v xml:space="preserve">N162AM  </v>
      </c>
      <c r="BC1765">
        <v>1</v>
      </c>
      <c r="BE1765">
        <v>0</v>
      </c>
      <c r="BF1765">
        <v>0</v>
      </c>
      <c r="BG1765">
        <v>0</v>
      </c>
      <c r="BH1765">
        <v>1875</v>
      </c>
      <c r="BI1765">
        <v>1</v>
      </c>
      <c r="BJ1765">
        <v>1</v>
      </c>
      <c r="BK1765">
        <v>1</v>
      </c>
      <c r="BL1765">
        <v>0</v>
      </c>
      <c r="BO1765">
        <v>0</v>
      </c>
      <c r="BP1765">
        <v>0</v>
      </c>
      <c r="BW1765" t="str">
        <f>"14:52:11.505"</f>
        <v>14:52:11.505</v>
      </c>
      <c r="CJ1765">
        <v>3</v>
      </c>
      <c r="CK1765">
        <v>2</v>
      </c>
      <c r="CL1765">
        <v>0</v>
      </c>
      <c r="CM1765">
        <v>2</v>
      </c>
      <c r="CN1765">
        <v>0</v>
      </c>
      <c r="CO1765">
        <v>7</v>
      </c>
      <c r="CP1765" t="s">
        <v>119</v>
      </c>
      <c r="CQ1765">
        <v>232</v>
      </c>
      <c r="CR1765">
        <v>2</v>
      </c>
      <c r="CW1765">
        <v>6905230</v>
      </c>
      <c r="CY1765">
        <v>1</v>
      </c>
      <c r="CZ1765">
        <v>0</v>
      </c>
      <c r="DA1765">
        <v>1</v>
      </c>
      <c r="DB1765">
        <v>0</v>
      </c>
      <c r="DC1765">
        <v>0</v>
      </c>
      <c r="DD1765">
        <v>1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>"12/16/2021 14:52:12.884"</f>
        <v>12/16/2021 14:52:12.884</v>
      </c>
      <c r="C1766" t="str">
        <f t="shared" si="85"/>
        <v>FFDFD3C0</v>
      </c>
      <c r="D1766" t="s">
        <v>113</v>
      </c>
      <c r="E1766">
        <v>8</v>
      </c>
      <c r="H1766">
        <v>176</v>
      </c>
      <c r="I1766" t="s">
        <v>114</v>
      </c>
      <c r="J1766" t="s">
        <v>115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>"14:52:12.672"</f>
        <v>14:52:12.672</v>
      </c>
      <c r="T1766" t="str">
        <f>"14:52:12.172"</f>
        <v>14:52:12.172</v>
      </c>
      <c r="U1766" t="str">
        <f t="shared" si="87"/>
        <v>A0F928</v>
      </c>
      <c r="V1766">
        <v>0</v>
      </c>
      <c r="W1766">
        <v>0</v>
      </c>
      <c r="X1766">
        <v>2</v>
      </c>
      <c r="Z1766">
        <v>0</v>
      </c>
      <c r="AA1766">
        <v>9</v>
      </c>
      <c r="AB1766">
        <v>3</v>
      </c>
      <c r="AC1766">
        <v>0</v>
      </c>
      <c r="AD1766">
        <v>10</v>
      </c>
      <c r="AE1766">
        <v>0</v>
      </c>
      <c r="AF1766">
        <v>3</v>
      </c>
      <c r="AG1766">
        <v>2</v>
      </c>
      <c r="AH1766">
        <v>1</v>
      </c>
      <c r="AI1766" t="s">
        <v>944</v>
      </c>
      <c r="AJ1766">
        <v>35.835642999999997</v>
      </c>
      <c r="AK1766" t="s">
        <v>945</v>
      </c>
      <c r="AL1766">
        <v>-84.005971000000002</v>
      </c>
      <c r="AM1766">
        <v>25</v>
      </c>
      <c r="AN1766">
        <v>1625</v>
      </c>
      <c r="AO1766" t="s">
        <v>118</v>
      </c>
      <c r="AP1766">
        <v>93</v>
      </c>
      <c r="AQ1766">
        <v>85</v>
      </c>
      <c r="AR1766">
        <v>-128</v>
      </c>
      <c r="AZ1766">
        <v>300</v>
      </c>
      <c r="BA1766">
        <v>1</v>
      </c>
      <c r="BB1766" t="str">
        <f t="shared" si="86"/>
        <v xml:space="preserve">N162AM  </v>
      </c>
      <c r="BC1766">
        <v>1</v>
      </c>
      <c r="BE1766">
        <v>0</v>
      </c>
      <c r="BF1766">
        <v>0</v>
      </c>
      <c r="BG1766">
        <v>0</v>
      </c>
      <c r="BH1766">
        <v>1875</v>
      </c>
      <c r="BI1766">
        <v>1</v>
      </c>
      <c r="BJ1766">
        <v>1</v>
      </c>
      <c r="BK1766">
        <v>1</v>
      </c>
      <c r="BL1766">
        <v>0</v>
      </c>
      <c r="BO1766">
        <v>0</v>
      </c>
      <c r="BP1766">
        <v>0</v>
      </c>
      <c r="BW1766" t="str">
        <f>"14:52:12.673"</f>
        <v>14:52:12.673</v>
      </c>
      <c r="CJ1766">
        <v>3</v>
      </c>
      <c r="CK1766">
        <v>2</v>
      </c>
      <c r="CL1766">
        <v>0</v>
      </c>
      <c r="CM1766">
        <v>2</v>
      </c>
      <c r="CN1766">
        <v>0</v>
      </c>
      <c r="CO1766">
        <v>6</v>
      </c>
      <c r="CP1766" t="s">
        <v>119</v>
      </c>
      <c r="CQ1766">
        <v>232</v>
      </c>
      <c r="CR1766">
        <v>1</v>
      </c>
      <c r="CW1766">
        <v>15697082</v>
      </c>
      <c r="CY1766">
        <v>1</v>
      </c>
      <c r="CZ1766">
        <v>0</v>
      </c>
      <c r="DA1766">
        <v>0</v>
      </c>
      <c r="DB1766">
        <v>0</v>
      </c>
      <c r="DC1766">
        <v>0</v>
      </c>
      <c r="DD1766">
        <v>1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>"12/16/2021 14:52:12.884"</f>
        <v>12/16/2021 14:52:12.884</v>
      </c>
      <c r="C1767" t="str">
        <f t="shared" si="85"/>
        <v>FFDFD3C0</v>
      </c>
      <c r="D1767" t="s">
        <v>124</v>
      </c>
      <c r="E1767">
        <v>10</v>
      </c>
      <c r="F1767">
        <v>1010</v>
      </c>
      <c r="G1767" t="s">
        <v>130</v>
      </c>
      <c r="J1767" t="s">
        <v>125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>"14:52:12.672"</f>
        <v>14:52:12.672</v>
      </c>
      <c r="T1767" t="str">
        <f>"14:52:12.172"</f>
        <v>14:52:12.172</v>
      </c>
      <c r="U1767" t="str">
        <f t="shared" si="87"/>
        <v>A0F928</v>
      </c>
      <c r="V1767">
        <v>0</v>
      </c>
      <c r="W1767">
        <v>0</v>
      </c>
      <c r="X1767">
        <v>2</v>
      </c>
      <c r="Z1767">
        <v>0</v>
      </c>
      <c r="AA1767">
        <v>9</v>
      </c>
      <c r="AB1767">
        <v>3</v>
      </c>
      <c r="AC1767">
        <v>0</v>
      </c>
      <c r="AD1767">
        <v>10</v>
      </c>
      <c r="AE1767">
        <v>0</v>
      </c>
      <c r="AF1767">
        <v>3</v>
      </c>
      <c r="AG1767">
        <v>2</v>
      </c>
      <c r="AH1767">
        <v>1</v>
      </c>
      <c r="AI1767" t="s">
        <v>944</v>
      </c>
      <c r="AJ1767">
        <v>35.835642999999997</v>
      </c>
      <c r="AK1767" t="s">
        <v>945</v>
      </c>
      <c r="AL1767">
        <v>-84.005971000000002</v>
      </c>
      <c r="AM1767">
        <v>25</v>
      </c>
      <c r="AN1767">
        <v>1625</v>
      </c>
      <c r="AO1767" t="s">
        <v>118</v>
      </c>
      <c r="AP1767">
        <v>93</v>
      </c>
      <c r="AQ1767">
        <v>85</v>
      </c>
      <c r="AR1767">
        <v>-128</v>
      </c>
      <c r="AZ1767">
        <v>300</v>
      </c>
      <c r="BA1767">
        <v>1</v>
      </c>
      <c r="BB1767" t="str">
        <f t="shared" si="86"/>
        <v xml:space="preserve">N162AM  </v>
      </c>
      <c r="BC1767">
        <v>1</v>
      </c>
      <c r="BE1767">
        <v>0</v>
      </c>
      <c r="BF1767">
        <v>0</v>
      </c>
      <c r="BG1767">
        <v>0</v>
      </c>
      <c r="BH1767">
        <v>1875</v>
      </c>
      <c r="BI1767">
        <v>1</v>
      </c>
      <c r="BJ1767">
        <v>1</v>
      </c>
      <c r="BK1767">
        <v>1</v>
      </c>
      <c r="BL1767">
        <v>0</v>
      </c>
      <c r="BO1767">
        <v>0</v>
      </c>
      <c r="BP1767">
        <v>0</v>
      </c>
      <c r="BW1767" t="str">
        <f>"14:52:12.673"</f>
        <v>14:52:12.673</v>
      </c>
      <c r="CJ1767">
        <v>3</v>
      </c>
      <c r="CK1767">
        <v>2</v>
      </c>
      <c r="CL1767">
        <v>0</v>
      </c>
      <c r="CM1767">
        <v>2</v>
      </c>
      <c r="CN1767">
        <v>0</v>
      </c>
      <c r="CO1767">
        <v>6</v>
      </c>
      <c r="CP1767" t="s">
        <v>119</v>
      </c>
      <c r="CQ1767">
        <v>232</v>
      </c>
      <c r="CR1767">
        <v>1</v>
      </c>
      <c r="CW1767">
        <v>15697082</v>
      </c>
      <c r="CY1767">
        <v>1</v>
      </c>
      <c r="CZ1767">
        <v>0</v>
      </c>
      <c r="DA1767">
        <v>1</v>
      </c>
      <c r="DB1767">
        <v>0</v>
      </c>
      <c r="DC1767">
        <v>0</v>
      </c>
      <c r="DD1767">
        <v>1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>"12/16/2021 14:52:12.900"</f>
        <v>12/16/2021 14:52:12.900</v>
      </c>
      <c r="C1768" t="str">
        <f t="shared" si="85"/>
        <v>FFDFD3C0</v>
      </c>
      <c r="D1768" t="s">
        <v>124</v>
      </c>
      <c r="E1768">
        <v>5</v>
      </c>
      <c r="F1768">
        <v>1005</v>
      </c>
      <c r="G1768" t="s">
        <v>114</v>
      </c>
      <c r="J1768" t="s">
        <v>125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>"14:52:12.672"</f>
        <v>14:52:12.672</v>
      </c>
      <c r="T1768" t="str">
        <f>"14:52:12.172"</f>
        <v>14:52:12.172</v>
      </c>
      <c r="U1768" t="str">
        <f t="shared" si="87"/>
        <v>A0F928</v>
      </c>
      <c r="V1768">
        <v>0</v>
      </c>
      <c r="W1768">
        <v>0</v>
      </c>
      <c r="X1768">
        <v>2</v>
      </c>
      <c r="Z1768">
        <v>0</v>
      </c>
      <c r="AA1768">
        <v>9</v>
      </c>
      <c r="AB1768">
        <v>3</v>
      </c>
      <c r="AC1768">
        <v>0</v>
      </c>
      <c r="AD1768">
        <v>10</v>
      </c>
      <c r="AE1768">
        <v>0</v>
      </c>
      <c r="AF1768">
        <v>3</v>
      </c>
      <c r="AG1768">
        <v>2</v>
      </c>
      <c r="AH1768">
        <v>1</v>
      </c>
      <c r="AI1768" t="s">
        <v>944</v>
      </c>
      <c r="AJ1768">
        <v>35.835642999999997</v>
      </c>
      <c r="AK1768" t="s">
        <v>945</v>
      </c>
      <c r="AL1768">
        <v>-84.005971000000002</v>
      </c>
      <c r="AM1768">
        <v>25</v>
      </c>
      <c r="AN1768">
        <v>1625</v>
      </c>
      <c r="AO1768" t="s">
        <v>118</v>
      </c>
      <c r="AP1768">
        <v>93</v>
      </c>
      <c r="AQ1768">
        <v>85</v>
      </c>
      <c r="AR1768">
        <v>-128</v>
      </c>
      <c r="AZ1768">
        <v>300</v>
      </c>
      <c r="BA1768">
        <v>1</v>
      </c>
      <c r="BB1768" t="str">
        <f t="shared" si="86"/>
        <v xml:space="preserve">N162AM  </v>
      </c>
      <c r="BC1768">
        <v>1</v>
      </c>
      <c r="BE1768">
        <v>0</v>
      </c>
      <c r="BF1768">
        <v>0</v>
      </c>
      <c r="BG1768">
        <v>0</v>
      </c>
      <c r="BH1768">
        <v>1875</v>
      </c>
      <c r="BI1768">
        <v>1</v>
      </c>
      <c r="BJ1768">
        <v>1</v>
      </c>
      <c r="BK1768">
        <v>1</v>
      </c>
      <c r="BL1768">
        <v>0</v>
      </c>
      <c r="BO1768">
        <v>0</v>
      </c>
      <c r="BP1768">
        <v>0</v>
      </c>
      <c r="BW1768" t="str">
        <f>"14:52:12.673"</f>
        <v>14:52:12.673</v>
      </c>
      <c r="CJ1768">
        <v>3</v>
      </c>
      <c r="CK1768">
        <v>2</v>
      </c>
      <c r="CL1768">
        <v>0</v>
      </c>
      <c r="CM1768">
        <v>2</v>
      </c>
      <c r="CN1768">
        <v>0</v>
      </c>
      <c r="CO1768">
        <v>6</v>
      </c>
      <c r="CP1768" t="s">
        <v>119</v>
      </c>
      <c r="CQ1768">
        <v>232</v>
      </c>
      <c r="CR1768">
        <v>1</v>
      </c>
      <c r="CW1768">
        <v>15697082</v>
      </c>
      <c r="CY1768">
        <v>1</v>
      </c>
      <c r="CZ1768">
        <v>0</v>
      </c>
      <c r="DA1768">
        <v>1</v>
      </c>
      <c r="DB1768">
        <v>0</v>
      </c>
      <c r="DC1768">
        <v>0</v>
      </c>
      <c r="DD1768">
        <v>1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>"12/16/2021 14:52:12.900"</f>
        <v>12/16/2021 14:52:12.900</v>
      </c>
      <c r="C1769" t="str">
        <f t="shared" si="85"/>
        <v>FFDFD3C0</v>
      </c>
      <c r="D1769" t="s">
        <v>133</v>
      </c>
      <c r="E1769">
        <v>44</v>
      </c>
      <c r="H1769">
        <v>131</v>
      </c>
      <c r="I1769" t="s">
        <v>134</v>
      </c>
      <c r="J1769" t="s">
        <v>135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>"14:52:12.672"</f>
        <v>14:52:12.672</v>
      </c>
      <c r="T1769" t="str">
        <f>"14:52:12.172"</f>
        <v>14:52:12.172</v>
      </c>
      <c r="U1769" t="str">
        <f t="shared" si="87"/>
        <v>A0F928</v>
      </c>
      <c r="V1769">
        <v>0</v>
      </c>
      <c r="W1769">
        <v>0</v>
      </c>
      <c r="X1769">
        <v>2</v>
      </c>
      <c r="Z1769">
        <v>0</v>
      </c>
      <c r="AA1769">
        <v>9</v>
      </c>
      <c r="AB1769">
        <v>3</v>
      </c>
      <c r="AC1769">
        <v>0</v>
      </c>
      <c r="AD1769">
        <v>10</v>
      </c>
      <c r="AE1769">
        <v>0</v>
      </c>
      <c r="AF1769">
        <v>3</v>
      </c>
      <c r="AG1769">
        <v>2</v>
      </c>
      <c r="AH1769">
        <v>1</v>
      </c>
      <c r="AI1769" t="s">
        <v>944</v>
      </c>
      <c r="AJ1769">
        <v>35.835642999999997</v>
      </c>
      <c r="AK1769" t="s">
        <v>945</v>
      </c>
      <c r="AL1769">
        <v>-84.005971000000002</v>
      </c>
      <c r="AM1769">
        <v>25</v>
      </c>
      <c r="AN1769">
        <v>1625</v>
      </c>
      <c r="AO1769" t="s">
        <v>118</v>
      </c>
      <c r="AP1769">
        <v>93</v>
      </c>
      <c r="AQ1769">
        <v>85</v>
      </c>
      <c r="AR1769">
        <v>-128</v>
      </c>
      <c r="AZ1769">
        <v>300</v>
      </c>
      <c r="BA1769">
        <v>1</v>
      </c>
      <c r="BB1769" t="str">
        <f t="shared" si="86"/>
        <v xml:space="preserve">N162AM  </v>
      </c>
      <c r="BC1769">
        <v>1</v>
      </c>
      <c r="BE1769">
        <v>0</v>
      </c>
      <c r="BF1769">
        <v>0</v>
      </c>
      <c r="BG1769">
        <v>0</v>
      </c>
      <c r="BH1769">
        <v>1875</v>
      </c>
      <c r="BI1769">
        <v>1</v>
      </c>
      <c r="BJ1769">
        <v>1</v>
      </c>
      <c r="BK1769">
        <v>1</v>
      </c>
      <c r="BL1769">
        <v>0</v>
      </c>
      <c r="BO1769">
        <v>0</v>
      </c>
      <c r="BP1769">
        <v>0</v>
      </c>
      <c r="BW1769" t="str">
        <f>"14:52:12.673"</f>
        <v>14:52:12.673</v>
      </c>
      <c r="CJ1769">
        <v>3</v>
      </c>
      <c r="CK1769">
        <v>2</v>
      </c>
      <c r="CL1769">
        <v>0</v>
      </c>
      <c r="CM1769">
        <v>2</v>
      </c>
      <c r="CN1769">
        <v>0</v>
      </c>
      <c r="CO1769">
        <v>6</v>
      </c>
      <c r="CP1769" t="s">
        <v>119</v>
      </c>
      <c r="CQ1769">
        <v>232</v>
      </c>
      <c r="CR1769">
        <v>1</v>
      </c>
      <c r="CW1769">
        <v>15697082</v>
      </c>
      <c r="CY1769">
        <v>1</v>
      </c>
      <c r="CZ1769">
        <v>0</v>
      </c>
      <c r="DA1769">
        <v>1</v>
      </c>
      <c r="DB1769">
        <v>0</v>
      </c>
      <c r="DC1769">
        <v>0</v>
      </c>
      <c r="DD1769">
        <v>1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>"12/16/2021 14:52:13.822"</f>
        <v>12/16/2021 14:52:13.822</v>
      </c>
      <c r="C1770" t="str">
        <f t="shared" si="85"/>
        <v>FFDFD3C0</v>
      </c>
      <c r="D1770" t="s">
        <v>113</v>
      </c>
      <c r="E1770">
        <v>8</v>
      </c>
      <c r="H1770">
        <v>176</v>
      </c>
      <c r="I1770" t="s">
        <v>114</v>
      </c>
      <c r="J1770" t="s">
        <v>115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>"14:52:13.625"</f>
        <v>14:52:13.625</v>
      </c>
      <c r="T1770" t="str">
        <f>"14:52:13.225"</f>
        <v>14:52:13.225</v>
      </c>
      <c r="U1770" t="str">
        <f t="shared" si="87"/>
        <v>A0F928</v>
      </c>
      <c r="V1770">
        <v>0</v>
      </c>
      <c r="W1770">
        <v>0</v>
      </c>
      <c r="X1770">
        <v>2</v>
      </c>
      <c r="Z1770">
        <v>0</v>
      </c>
      <c r="AA1770">
        <v>9</v>
      </c>
      <c r="AB1770">
        <v>3</v>
      </c>
      <c r="AC1770">
        <v>0</v>
      </c>
      <c r="AD1770">
        <v>10</v>
      </c>
      <c r="AE1770">
        <v>0</v>
      </c>
      <c r="AF1770">
        <v>3</v>
      </c>
      <c r="AG1770">
        <v>2</v>
      </c>
      <c r="AH1770">
        <v>1</v>
      </c>
      <c r="AI1770" t="s">
        <v>946</v>
      </c>
      <c r="AJ1770">
        <v>35.835985999999998</v>
      </c>
      <c r="AK1770" t="s">
        <v>123</v>
      </c>
      <c r="AL1770">
        <v>-84.005476999999999</v>
      </c>
      <c r="AM1770">
        <v>25</v>
      </c>
      <c r="AN1770">
        <v>1625</v>
      </c>
      <c r="AO1770" t="s">
        <v>118</v>
      </c>
      <c r="AP1770">
        <v>92</v>
      </c>
      <c r="AQ1770">
        <v>85</v>
      </c>
      <c r="AR1770">
        <v>-256</v>
      </c>
      <c r="AZ1770">
        <v>300</v>
      </c>
      <c r="BA1770">
        <v>1</v>
      </c>
      <c r="BB1770" t="str">
        <f t="shared" si="86"/>
        <v xml:space="preserve">N162AM  </v>
      </c>
      <c r="BC1770">
        <v>1</v>
      </c>
      <c r="BE1770">
        <v>0</v>
      </c>
      <c r="BF1770">
        <v>0</v>
      </c>
      <c r="BG1770">
        <v>0</v>
      </c>
      <c r="BH1770">
        <v>1875</v>
      </c>
      <c r="BI1770">
        <v>1</v>
      </c>
      <c r="BJ1770">
        <v>1</v>
      </c>
      <c r="BK1770">
        <v>1</v>
      </c>
      <c r="BL1770">
        <v>0</v>
      </c>
      <c r="BO1770">
        <v>0</v>
      </c>
      <c r="BP1770">
        <v>0</v>
      </c>
      <c r="BW1770" t="str">
        <f>"14:52:13.626"</f>
        <v>14:52:13.626</v>
      </c>
      <c r="CJ1770">
        <v>3</v>
      </c>
      <c r="CK1770">
        <v>2</v>
      </c>
      <c r="CL1770">
        <v>0</v>
      </c>
      <c r="CM1770">
        <v>2</v>
      </c>
      <c r="CN1770">
        <v>0</v>
      </c>
      <c r="CO1770">
        <v>6</v>
      </c>
      <c r="CP1770" t="s">
        <v>119</v>
      </c>
      <c r="CQ1770">
        <v>232</v>
      </c>
      <c r="CR1770">
        <v>2</v>
      </c>
      <c r="CW1770">
        <v>6908686</v>
      </c>
      <c r="CY1770">
        <v>1</v>
      </c>
      <c r="CZ1770">
        <v>0</v>
      </c>
      <c r="DA1770">
        <v>0</v>
      </c>
      <c r="DB1770">
        <v>0</v>
      </c>
      <c r="DC1770">
        <v>0</v>
      </c>
      <c r="DD1770">
        <v>1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>"12/16/2021 14:52:13.806"</f>
        <v>12/16/2021 14:52:13.806</v>
      </c>
      <c r="C1771" t="str">
        <f t="shared" si="85"/>
        <v>FFDFD3C0</v>
      </c>
      <c r="D1771" t="s">
        <v>124</v>
      </c>
      <c r="E1771">
        <v>10</v>
      </c>
      <c r="F1771">
        <v>1010</v>
      </c>
      <c r="G1771" t="s">
        <v>130</v>
      </c>
      <c r="J1771" t="s">
        <v>125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>"14:52:13.625"</f>
        <v>14:52:13.625</v>
      </c>
      <c r="T1771" t="str">
        <f>"14:52:13.225"</f>
        <v>14:52:13.225</v>
      </c>
      <c r="U1771" t="str">
        <f t="shared" si="87"/>
        <v>A0F928</v>
      </c>
      <c r="V1771">
        <v>0</v>
      </c>
      <c r="W1771">
        <v>0</v>
      </c>
      <c r="X1771">
        <v>2</v>
      </c>
      <c r="Z1771">
        <v>0</v>
      </c>
      <c r="AA1771">
        <v>9</v>
      </c>
      <c r="AB1771">
        <v>3</v>
      </c>
      <c r="AC1771">
        <v>0</v>
      </c>
      <c r="AD1771">
        <v>10</v>
      </c>
      <c r="AE1771">
        <v>0</v>
      </c>
      <c r="AF1771">
        <v>3</v>
      </c>
      <c r="AG1771">
        <v>2</v>
      </c>
      <c r="AH1771">
        <v>1</v>
      </c>
      <c r="AI1771" t="s">
        <v>946</v>
      </c>
      <c r="AJ1771">
        <v>35.835985999999998</v>
      </c>
      <c r="AK1771" t="s">
        <v>123</v>
      </c>
      <c r="AL1771">
        <v>-84.005476999999999</v>
      </c>
      <c r="AM1771">
        <v>25</v>
      </c>
      <c r="AN1771">
        <v>1625</v>
      </c>
      <c r="AO1771" t="s">
        <v>118</v>
      </c>
      <c r="AP1771">
        <v>92</v>
      </c>
      <c r="AQ1771">
        <v>85</v>
      </c>
      <c r="AR1771">
        <v>-256</v>
      </c>
      <c r="AZ1771">
        <v>300</v>
      </c>
      <c r="BA1771">
        <v>1</v>
      </c>
      <c r="BB1771" t="str">
        <f t="shared" si="86"/>
        <v xml:space="preserve">N162AM  </v>
      </c>
      <c r="BC1771">
        <v>1</v>
      </c>
      <c r="BE1771">
        <v>0</v>
      </c>
      <c r="BF1771">
        <v>0</v>
      </c>
      <c r="BG1771">
        <v>0</v>
      </c>
      <c r="BH1771">
        <v>1875</v>
      </c>
      <c r="BI1771">
        <v>1</v>
      </c>
      <c r="BJ1771">
        <v>1</v>
      </c>
      <c r="BK1771">
        <v>1</v>
      </c>
      <c r="BL1771">
        <v>0</v>
      </c>
      <c r="BO1771">
        <v>0</v>
      </c>
      <c r="BP1771">
        <v>0</v>
      </c>
      <c r="BW1771" t="str">
        <f>"14:52:13.626"</f>
        <v>14:52:13.626</v>
      </c>
      <c r="CJ1771">
        <v>3</v>
      </c>
      <c r="CK1771">
        <v>2</v>
      </c>
      <c r="CL1771">
        <v>0</v>
      </c>
      <c r="CM1771">
        <v>2</v>
      </c>
      <c r="CN1771">
        <v>0</v>
      </c>
      <c r="CO1771">
        <v>6</v>
      </c>
      <c r="CP1771" t="s">
        <v>119</v>
      </c>
      <c r="CQ1771">
        <v>232</v>
      </c>
      <c r="CR1771">
        <v>2</v>
      </c>
      <c r="CW1771">
        <v>6908686</v>
      </c>
      <c r="CY1771">
        <v>1</v>
      </c>
      <c r="CZ1771">
        <v>0</v>
      </c>
      <c r="DA1771">
        <v>1</v>
      </c>
      <c r="DB1771">
        <v>0</v>
      </c>
      <c r="DC1771">
        <v>0</v>
      </c>
      <c r="DD1771">
        <v>1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>"12/16/2021 14:52:13.837"</f>
        <v>12/16/2021 14:52:13.837</v>
      </c>
      <c r="C1772" t="str">
        <f t="shared" si="85"/>
        <v>FFDFD3C0</v>
      </c>
      <c r="D1772" t="s">
        <v>124</v>
      </c>
      <c r="E1772">
        <v>5</v>
      </c>
      <c r="F1772">
        <v>1005</v>
      </c>
      <c r="G1772" t="s">
        <v>114</v>
      </c>
      <c r="J1772" t="s">
        <v>125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>"14:52:13.625"</f>
        <v>14:52:13.625</v>
      </c>
      <c r="T1772" t="str">
        <f>"14:52:13.225"</f>
        <v>14:52:13.225</v>
      </c>
      <c r="U1772" t="str">
        <f t="shared" si="87"/>
        <v>A0F928</v>
      </c>
      <c r="V1772">
        <v>0</v>
      </c>
      <c r="W1772">
        <v>0</v>
      </c>
      <c r="X1772">
        <v>2</v>
      </c>
      <c r="Z1772">
        <v>0</v>
      </c>
      <c r="AA1772">
        <v>9</v>
      </c>
      <c r="AB1772">
        <v>3</v>
      </c>
      <c r="AC1772">
        <v>0</v>
      </c>
      <c r="AD1772">
        <v>10</v>
      </c>
      <c r="AE1772">
        <v>0</v>
      </c>
      <c r="AF1772">
        <v>3</v>
      </c>
      <c r="AG1772">
        <v>2</v>
      </c>
      <c r="AH1772">
        <v>1</v>
      </c>
      <c r="AI1772" t="s">
        <v>946</v>
      </c>
      <c r="AJ1772">
        <v>35.835985999999998</v>
      </c>
      <c r="AK1772" t="s">
        <v>123</v>
      </c>
      <c r="AL1772">
        <v>-84.005476999999999</v>
      </c>
      <c r="AM1772">
        <v>25</v>
      </c>
      <c r="AN1772">
        <v>1625</v>
      </c>
      <c r="AO1772" t="s">
        <v>118</v>
      </c>
      <c r="AP1772">
        <v>92</v>
      </c>
      <c r="AQ1772">
        <v>85</v>
      </c>
      <c r="AR1772">
        <v>-256</v>
      </c>
      <c r="AZ1772">
        <v>300</v>
      </c>
      <c r="BA1772">
        <v>1</v>
      </c>
      <c r="BB1772" t="str">
        <f t="shared" si="86"/>
        <v xml:space="preserve">N162AM  </v>
      </c>
      <c r="BC1772">
        <v>1</v>
      </c>
      <c r="BE1772">
        <v>0</v>
      </c>
      <c r="BF1772">
        <v>0</v>
      </c>
      <c r="BG1772">
        <v>0</v>
      </c>
      <c r="BH1772">
        <v>1875</v>
      </c>
      <c r="BI1772">
        <v>1</v>
      </c>
      <c r="BJ1772">
        <v>1</v>
      </c>
      <c r="BK1772">
        <v>1</v>
      </c>
      <c r="BL1772">
        <v>0</v>
      </c>
      <c r="BO1772">
        <v>0</v>
      </c>
      <c r="BP1772">
        <v>0</v>
      </c>
      <c r="BW1772" t="str">
        <f>"14:52:13.626"</f>
        <v>14:52:13.626</v>
      </c>
      <c r="CJ1772">
        <v>3</v>
      </c>
      <c r="CK1772">
        <v>2</v>
      </c>
      <c r="CL1772">
        <v>0</v>
      </c>
      <c r="CM1772">
        <v>2</v>
      </c>
      <c r="CN1772">
        <v>0</v>
      </c>
      <c r="CO1772">
        <v>6</v>
      </c>
      <c r="CP1772" t="s">
        <v>119</v>
      </c>
      <c r="CQ1772">
        <v>232</v>
      </c>
      <c r="CR1772">
        <v>2</v>
      </c>
      <c r="CW1772">
        <v>6908686</v>
      </c>
      <c r="CY1772">
        <v>1</v>
      </c>
      <c r="CZ1772">
        <v>0</v>
      </c>
      <c r="DA1772">
        <v>1</v>
      </c>
      <c r="DB1772">
        <v>0</v>
      </c>
      <c r="DC1772">
        <v>0</v>
      </c>
      <c r="DD1772">
        <v>1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>"12/16/2021 14:52:13.837"</f>
        <v>12/16/2021 14:52:13.837</v>
      </c>
      <c r="C1773" t="str">
        <f t="shared" si="85"/>
        <v>FFDFD3C0</v>
      </c>
      <c r="D1773" t="s">
        <v>133</v>
      </c>
      <c r="E1773">
        <v>44</v>
      </c>
      <c r="H1773">
        <v>131</v>
      </c>
      <c r="I1773" t="s">
        <v>134</v>
      </c>
      <c r="J1773" t="s">
        <v>135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>"14:52:13.625"</f>
        <v>14:52:13.625</v>
      </c>
      <c r="T1773" t="str">
        <f>"14:52:13.225"</f>
        <v>14:52:13.225</v>
      </c>
      <c r="U1773" t="str">
        <f t="shared" si="87"/>
        <v>A0F928</v>
      </c>
      <c r="V1773">
        <v>0</v>
      </c>
      <c r="W1773">
        <v>0</v>
      </c>
      <c r="X1773">
        <v>2</v>
      </c>
      <c r="Z1773">
        <v>0</v>
      </c>
      <c r="AA1773">
        <v>9</v>
      </c>
      <c r="AB1773">
        <v>3</v>
      </c>
      <c r="AC1773">
        <v>0</v>
      </c>
      <c r="AD1773">
        <v>10</v>
      </c>
      <c r="AE1773">
        <v>0</v>
      </c>
      <c r="AF1773">
        <v>3</v>
      </c>
      <c r="AG1773">
        <v>2</v>
      </c>
      <c r="AH1773">
        <v>1</v>
      </c>
      <c r="AI1773" t="s">
        <v>946</v>
      </c>
      <c r="AJ1773">
        <v>35.835985999999998</v>
      </c>
      <c r="AK1773" t="s">
        <v>123</v>
      </c>
      <c r="AL1773">
        <v>-84.005476999999999</v>
      </c>
      <c r="AM1773">
        <v>25</v>
      </c>
      <c r="AN1773">
        <v>1625</v>
      </c>
      <c r="AO1773" t="s">
        <v>118</v>
      </c>
      <c r="AP1773">
        <v>92</v>
      </c>
      <c r="AQ1773">
        <v>85</v>
      </c>
      <c r="AR1773">
        <v>-256</v>
      </c>
      <c r="AZ1773">
        <v>300</v>
      </c>
      <c r="BA1773">
        <v>1</v>
      </c>
      <c r="BB1773" t="str">
        <f t="shared" si="86"/>
        <v xml:space="preserve">N162AM  </v>
      </c>
      <c r="BC1773">
        <v>1</v>
      </c>
      <c r="BE1773">
        <v>0</v>
      </c>
      <c r="BF1773">
        <v>0</v>
      </c>
      <c r="BG1773">
        <v>0</v>
      </c>
      <c r="BH1773">
        <v>1875</v>
      </c>
      <c r="BI1773">
        <v>1</v>
      </c>
      <c r="BJ1773">
        <v>1</v>
      </c>
      <c r="BK1773">
        <v>1</v>
      </c>
      <c r="BL1773">
        <v>0</v>
      </c>
      <c r="BO1773">
        <v>0</v>
      </c>
      <c r="BP1773">
        <v>0</v>
      </c>
      <c r="BW1773" t="str">
        <f>"14:52:13.626"</f>
        <v>14:52:13.626</v>
      </c>
      <c r="CJ1773">
        <v>3</v>
      </c>
      <c r="CK1773">
        <v>2</v>
      </c>
      <c r="CL1773">
        <v>0</v>
      </c>
      <c r="CM1773">
        <v>2</v>
      </c>
      <c r="CN1773">
        <v>0</v>
      </c>
      <c r="CO1773">
        <v>6</v>
      </c>
      <c r="CP1773" t="s">
        <v>119</v>
      </c>
      <c r="CQ1773">
        <v>232</v>
      </c>
      <c r="CR1773">
        <v>2</v>
      </c>
      <c r="CW1773">
        <v>6908686</v>
      </c>
      <c r="CY1773">
        <v>1</v>
      </c>
      <c r="CZ1773">
        <v>0</v>
      </c>
      <c r="DA1773">
        <v>1</v>
      </c>
      <c r="DB1773">
        <v>0</v>
      </c>
      <c r="DC1773">
        <v>0</v>
      </c>
      <c r="DD1773">
        <v>1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>"12/16/2021 14:52:14.695"</f>
        <v>12/16/2021 14:52:14.695</v>
      </c>
      <c r="C1774" t="str">
        <f t="shared" ref="C1774:C1837" si="88">"FFDFD3C0"</f>
        <v>FFDFD3C0</v>
      </c>
      <c r="D1774" t="s">
        <v>124</v>
      </c>
      <c r="E1774">
        <v>5</v>
      </c>
      <c r="F1774">
        <v>1005</v>
      </c>
      <c r="G1774" t="s">
        <v>114</v>
      </c>
      <c r="J1774" t="s">
        <v>125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>"14:52:14.484"</f>
        <v>14:52:14.484</v>
      </c>
      <c r="T1774" t="str">
        <f>"14:52:14.084"</f>
        <v>14:52:14.084</v>
      </c>
      <c r="U1774" t="str">
        <f t="shared" si="87"/>
        <v>A0F928</v>
      </c>
      <c r="V1774">
        <v>0</v>
      </c>
      <c r="W1774">
        <v>0</v>
      </c>
      <c r="X1774">
        <v>2</v>
      </c>
      <c r="Z1774">
        <v>0</v>
      </c>
      <c r="AA1774">
        <v>9</v>
      </c>
      <c r="AB1774">
        <v>3</v>
      </c>
      <c r="AC1774">
        <v>0</v>
      </c>
      <c r="AD1774">
        <v>10</v>
      </c>
      <c r="AE1774">
        <v>0</v>
      </c>
      <c r="AF1774">
        <v>3</v>
      </c>
      <c r="AG1774">
        <v>2</v>
      </c>
      <c r="AH1774">
        <v>1</v>
      </c>
      <c r="AI1774" t="s">
        <v>615</v>
      </c>
      <c r="AJ1774">
        <v>35.836328999999999</v>
      </c>
      <c r="AK1774" t="s">
        <v>947</v>
      </c>
      <c r="AL1774">
        <v>-84.004962000000006</v>
      </c>
      <c r="AM1774">
        <v>25</v>
      </c>
      <c r="AN1774">
        <v>1625</v>
      </c>
      <c r="AO1774" t="s">
        <v>118</v>
      </c>
      <c r="AP1774">
        <v>92</v>
      </c>
      <c r="AQ1774">
        <v>85</v>
      </c>
      <c r="AR1774">
        <v>-128</v>
      </c>
      <c r="AZ1774">
        <v>300</v>
      </c>
      <c r="BA1774">
        <v>1</v>
      </c>
      <c r="BB1774" t="str">
        <f t="shared" ref="BB1774:BB1837" si="89">"N162AM  "</f>
        <v xml:space="preserve">N162AM  </v>
      </c>
      <c r="BC1774">
        <v>1</v>
      </c>
      <c r="BE1774">
        <v>0</v>
      </c>
      <c r="BF1774">
        <v>0</v>
      </c>
      <c r="BG1774">
        <v>0</v>
      </c>
      <c r="BH1774">
        <v>1875</v>
      </c>
      <c r="BI1774">
        <v>1</v>
      </c>
      <c r="BJ1774">
        <v>1</v>
      </c>
      <c r="BK1774">
        <v>1</v>
      </c>
      <c r="BL1774">
        <v>0</v>
      </c>
      <c r="BO1774">
        <v>0</v>
      </c>
      <c r="BP1774">
        <v>0</v>
      </c>
      <c r="BW1774" t="str">
        <f>"14:52:14.488"</f>
        <v>14:52:14.488</v>
      </c>
      <c r="CJ1774">
        <v>3</v>
      </c>
      <c r="CK1774">
        <v>2</v>
      </c>
      <c r="CL1774">
        <v>0</v>
      </c>
      <c r="CM1774">
        <v>2</v>
      </c>
      <c r="CN1774">
        <v>0</v>
      </c>
      <c r="CO1774">
        <v>2</v>
      </c>
      <c r="CP1774" t="s">
        <v>119</v>
      </c>
      <c r="CQ1774">
        <v>216</v>
      </c>
      <c r="CR1774">
        <v>0</v>
      </c>
      <c r="CW1774">
        <v>1076062</v>
      </c>
      <c r="CY1774">
        <v>1</v>
      </c>
      <c r="CZ1774">
        <v>0</v>
      </c>
      <c r="DA1774">
        <v>0</v>
      </c>
      <c r="DB1774">
        <v>0</v>
      </c>
      <c r="DC1774">
        <v>0</v>
      </c>
      <c r="DD1774">
        <v>1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>"12/16/2021 14:52:14.695"</f>
        <v>12/16/2021 14:52:14.695</v>
      </c>
      <c r="C1775" t="str">
        <f t="shared" si="88"/>
        <v>FFDFD3C0</v>
      </c>
      <c r="D1775" t="s">
        <v>133</v>
      </c>
      <c r="E1775">
        <v>44</v>
      </c>
      <c r="H1775">
        <v>131</v>
      </c>
      <c r="I1775" t="s">
        <v>134</v>
      </c>
      <c r="J1775" t="s">
        <v>135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>"14:52:14.484"</f>
        <v>14:52:14.484</v>
      </c>
      <c r="T1775" t="str">
        <f>"14:52:14.084"</f>
        <v>14:52:14.084</v>
      </c>
      <c r="U1775" t="str">
        <f t="shared" si="87"/>
        <v>A0F928</v>
      </c>
      <c r="V1775">
        <v>0</v>
      </c>
      <c r="W1775">
        <v>0</v>
      </c>
      <c r="X1775">
        <v>2</v>
      </c>
      <c r="Z1775">
        <v>0</v>
      </c>
      <c r="AA1775">
        <v>9</v>
      </c>
      <c r="AB1775">
        <v>3</v>
      </c>
      <c r="AC1775">
        <v>0</v>
      </c>
      <c r="AD1775">
        <v>10</v>
      </c>
      <c r="AE1775">
        <v>0</v>
      </c>
      <c r="AF1775">
        <v>3</v>
      </c>
      <c r="AG1775">
        <v>2</v>
      </c>
      <c r="AH1775">
        <v>1</v>
      </c>
      <c r="AI1775" t="s">
        <v>615</v>
      </c>
      <c r="AJ1775">
        <v>35.836328999999999</v>
      </c>
      <c r="AK1775" t="s">
        <v>947</v>
      </c>
      <c r="AL1775">
        <v>-84.004962000000006</v>
      </c>
      <c r="AM1775">
        <v>25</v>
      </c>
      <c r="AN1775">
        <v>1625</v>
      </c>
      <c r="AO1775" t="s">
        <v>118</v>
      </c>
      <c r="AP1775">
        <v>92</v>
      </c>
      <c r="AQ1775">
        <v>85</v>
      </c>
      <c r="AR1775">
        <v>-128</v>
      </c>
      <c r="AZ1775">
        <v>300</v>
      </c>
      <c r="BA1775">
        <v>1</v>
      </c>
      <c r="BB1775" t="str">
        <f t="shared" si="89"/>
        <v xml:space="preserve">N162AM  </v>
      </c>
      <c r="BC1775">
        <v>1</v>
      </c>
      <c r="BE1775">
        <v>0</v>
      </c>
      <c r="BF1775">
        <v>0</v>
      </c>
      <c r="BG1775">
        <v>0</v>
      </c>
      <c r="BH1775">
        <v>1875</v>
      </c>
      <c r="BI1775">
        <v>1</v>
      </c>
      <c r="BJ1775">
        <v>1</v>
      </c>
      <c r="BK1775">
        <v>1</v>
      </c>
      <c r="BL1775">
        <v>0</v>
      </c>
      <c r="BO1775">
        <v>0</v>
      </c>
      <c r="BP1775">
        <v>0</v>
      </c>
      <c r="BW1775" t="str">
        <f>"14:52:14.488"</f>
        <v>14:52:14.488</v>
      </c>
      <c r="CJ1775">
        <v>3</v>
      </c>
      <c r="CK1775">
        <v>2</v>
      </c>
      <c r="CL1775">
        <v>0</v>
      </c>
      <c r="CM1775">
        <v>2</v>
      </c>
      <c r="CN1775">
        <v>0</v>
      </c>
      <c r="CO1775">
        <v>2</v>
      </c>
      <c r="CP1775" t="s">
        <v>119</v>
      </c>
      <c r="CQ1775">
        <v>216</v>
      </c>
      <c r="CR1775">
        <v>0</v>
      </c>
      <c r="CW1775">
        <v>1076062</v>
      </c>
      <c r="CY1775">
        <v>1</v>
      </c>
      <c r="CZ1775">
        <v>0</v>
      </c>
      <c r="DA1775">
        <v>1</v>
      </c>
      <c r="DB1775">
        <v>0</v>
      </c>
      <c r="DC1775">
        <v>0</v>
      </c>
      <c r="DD1775">
        <v>1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>"12/16/2021 14:52:14.710"</f>
        <v>12/16/2021 14:52:14.710</v>
      </c>
      <c r="C1776" t="str">
        <f t="shared" si="88"/>
        <v>FFDFD3C0</v>
      </c>
      <c r="D1776" t="s">
        <v>124</v>
      </c>
      <c r="E1776">
        <v>10</v>
      </c>
      <c r="F1776">
        <v>1010</v>
      </c>
      <c r="G1776" t="s">
        <v>130</v>
      </c>
      <c r="J1776" t="s">
        <v>125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>"14:52:14.484"</f>
        <v>14:52:14.484</v>
      </c>
      <c r="T1776" t="str">
        <f>"14:52:14.084"</f>
        <v>14:52:14.084</v>
      </c>
      <c r="U1776" t="str">
        <f t="shared" si="87"/>
        <v>A0F928</v>
      </c>
      <c r="V1776">
        <v>0</v>
      </c>
      <c r="W1776">
        <v>0</v>
      </c>
      <c r="X1776">
        <v>2</v>
      </c>
      <c r="Z1776">
        <v>0</v>
      </c>
      <c r="AA1776">
        <v>9</v>
      </c>
      <c r="AB1776">
        <v>3</v>
      </c>
      <c r="AC1776">
        <v>0</v>
      </c>
      <c r="AD1776">
        <v>10</v>
      </c>
      <c r="AE1776">
        <v>0</v>
      </c>
      <c r="AF1776">
        <v>3</v>
      </c>
      <c r="AG1776">
        <v>2</v>
      </c>
      <c r="AH1776">
        <v>1</v>
      </c>
      <c r="AI1776" t="s">
        <v>615</v>
      </c>
      <c r="AJ1776">
        <v>35.836328999999999</v>
      </c>
      <c r="AK1776" t="s">
        <v>947</v>
      </c>
      <c r="AL1776">
        <v>-84.004962000000006</v>
      </c>
      <c r="AM1776">
        <v>25</v>
      </c>
      <c r="AN1776">
        <v>1625</v>
      </c>
      <c r="AO1776" t="s">
        <v>118</v>
      </c>
      <c r="AP1776">
        <v>92</v>
      </c>
      <c r="AQ1776">
        <v>85</v>
      </c>
      <c r="AR1776">
        <v>-128</v>
      </c>
      <c r="AZ1776">
        <v>300</v>
      </c>
      <c r="BA1776">
        <v>1</v>
      </c>
      <c r="BB1776" t="str">
        <f t="shared" si="89"/>
        <v xml:space="preserve">N162AM  </v>
      </c>
      <c r="BC1776">
        <v>1</v>
      </c>
      <c r="BE1776">
        <v>0</v>
      </c>
      <c r="BF1776">
        <v>0</v>
      </c>
      <c r="BG1776">
        <v>0</v>
      </c>
      <c r="BH1776">
        <v>1875</v>
      </c>
      <c r="BI1776">
        <v>1</v>
      </c>
      <c r="BJ1776">
        <v>1</v>
      </c>
      <c r="BK1776">
        <v>1</v>
      </c>
      <c r="BL1776">
        <v>0</v>
      </c>
      <c r="BO1776">
        <v>0</v>
      </c>
      <c r="BP1776">
        <v>0</v>
      </c>
      <c r="BW1776" t="str">
        <f>"14:52:14.488"</f>
        <v>14:52:14.488</v>
      </c>
      <c r="CJ1776">
        <v>3</v>
      </c>
      <c r="CK1776">
        <v>2</v>
      </c>
      <c r="CL1776">
        <v>0</v>
      </c>
      <c r="CM1776">
        <v>2</v>
      </c>
      <c r="CN1776">
        <v>0</v>
      </c>
      <c r="CO1776">
        <v>2</v>
      </c>
      <c r="CP1776" t="s">
        <v>119</v>
      </c>
      <c r="CQ1776">
        <v>216</v>
      </c>
      <c r="CR1776">
        <v>0</v>
      </c>
      <c r="CW1776">
        <v>1076062</v>
      </c>
      <c r="CY1776">
        <v>1</v>
      </c>
      <c r="CZ1776">
        <v>0</v>
      </c>
      <c r="DA1776">
        <v>1</v>
      </c>
      <c r="DB1776">
        <v>0</v>
      </c>
      <c r="DC1776">
        <v>0</v>
      </c>
      <c r="DD1776">
        <v>1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>"12/16/2021 14:52:14.773"</f>
        <v>12/16/2021 14:52:14.773</v>
      </c>
      <c r="C1777" t="str">
        <f t="shared" si="88"/>
        <v>FFDFD3C0</v>
      </c>
      <c r="D1777" t="s">
        <v>113</v>
      </c>
      <c r="E1777">
        <v>8</v>
      </c>
      <c r="H1777">
        <v>176</v>
      </c>
      <c r="I1777" t="s">
        <v>114</v>
      </c>
      <c r="J1777" t="s">
        <v>115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>"14:52:14.484"</f>
        <v>14:52:14.484</v>
      </c>
      <c r="T1777" t="str">
        <f>"14:52:14.084"</f>
        <v>14:52:14.084</v>
      </c>
      <c r="U1777" t="str">
        <f t="shared" si="87"/>
        <v>A0F928</v>
      </c>
      <c r="V1777">
        <v>0</v>
      </c>
      <c r="W1777">
        <v>0</v>
      </c>
      <c r="X1777">
        <v>2</v>
      </c>
      <c r="Z1777">
        <v>0</v>
      </c>
      <c r="AA1777">
        <v>9</v>
      </c>
      <c r="AB1777">
        <v>3</v>
      </c>
      <c r="AC1777">
        <v>0</v>
      </c>
      <c r="AD1777">
        <v>10</v>
      </c>
      <c r="AE1777">
        <v>0</v>
      </c>
      <c r="AF1777">
        <v>3</v>
      </c>
      <c r="AG1777">
        <v>2</v>
      </c>
      <c r="AH1777">
        <v>1</v>
      </c>
      <c r="AI1777" t="s">
        <v>615</v>
      </c>
      <c r="AJ1777">
        <v>35.836328999999999</v>
      </c>
      <c r="AK1777" t="s">
        <v>947</v>
      </c>
      <c r="AL1777">
        <v>-84.004962000000006</v>
      </c>
      <c r="AM1777">
        <v>25</v>
      </c>
      <c r="AN1777">
        <v>1625</v>
      </c>
      <c r="AO1777" t="s">
        <v>118</v>
      </c>
      <c r="AP1777">
        <v>92</v>
      </c>
      <c r="AQ1777">
        <v>85</v>
      </c>
      <c r="AR1777">
        <v>-128</v>
      </c>
      <c r="AZ1777">
        <v>300</v>
      </c>
      <c r="BA1777">
        <v>1</v>
      </c>
      <c r="BB1777" t="str">
        <f t="shared" si="89"/>
        <v xml:space="preserve">N162AM  </v>
      </c>
      <c r="BC1777">
        <v>1</v>
      </c>
      <c r="BE1777">
        <v>0</v>
      </c>
      <c r="BF1777">
        <v>0</v>
      </c>
      <c r="BG1777">
        <v>0</v>
      </c>
      <c r="BH1777">
        <v>1875</v>
      </c>
      <c r="BI1777">
        <v>1</v>
      </c>
      <c r="BJ1777">
        <v>1</v>
      </c>
      <c r="BK1777">
        <v>1</v>
      </c>
      <c r="BL1777">
        <v>0</v>
      </c>
      <c r="BO1777">
        <v>0</v>
      </c>
      <c r="BP1777">
        <v>0</v>
      </c>
      <c r="BW1777" t="str">
        <f>"14:52:14.488"</f>
        <v>14:52:14.488</v>
      </c>
      <c r="CJ1777">
        <v>3</v>
      </c>
      <c r="CK1777">
        <v>2</v>
      </c>
      <c r="CL1777">
        <v>0</v>
      </c>
      <c r="CM1777">
        <v>2</v>
      </c>
      <c r="CN1777">
        <v>0</v>
      </c>
      <c r="CO1777">
        <v>2</v>
      </c>
      <c r="CP1777" t="s">
        <v>119</v>
      </c>
      <c r="CQ1777">
        <v>216</v>
      </c>
      <c r="CR1777">
        <v>0</v>
      </c>
      <c r="CW1777">
        <v>1076062</v>
      </c>
      <c r="CY1777">
        <v>1</v>
      </c>
      <c r="CZ1777">
        <v>0</v>
      </c>
      <c r="DA1777">
        <v>1</v>
      </c>
      <c r="DB1777">
        <v>0</v>
      </c>
      <c r="DC1777">
        <v>0</v>
      </c>
      <c r="DD1777">
        <v>1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>"12/16/2021 14:52:16.195"</f>
        <v>12/16/2021 14:52:16.195</v>
      </c>
      <c r="C1778" t="str">
        <f t="shared" si="88"/>
        <v>FFDFD3C0</v>
      </c>
      <c r="D1778" t="s">
        <v>133</v>
      </c>
      <c r="E1778">
        <v>44</v>
      </c>
      <c r="H1778">
        <v>131</v>
      </c>
      <c r="I1778" t="s">
        <v>134</v>
      </c>
      <c r="J1778" t="s">
        <v>135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>"14:52:15.961"</f>
        <v>14:52:15.961</v>
      </c>
      <c r="T1778" t="str">
        <f>"14:52:15.561"</f>
        <v>14:52:15.561</v>
      </c>
      <c r="U1778" t="str">
        <f t="shared" si="87"/>
        <v>A0F928</v>
      </c>
      <c r="V1778">
        <v>0</v>
      </c>
      <c r="W1778">
        <v>0</v>
      </c>
      <c r="X1778">
        <v>2</v>
      </c>
      <c r="Z1778">
        <v>0</v>
      </c>
      <c r="AA1778">
        <v>9</v>
      </c>
      <c r="AB1778">
        <v>3</v>
      </c>
      <c r="AC1778">
        <v>0</v>
      </c>
      <c r="AD1778">
        <v>10</v>
      </c>
      <c r="AE1778">
        <v>0</v>
      </c>
      <c r="AF1778">
        <v>3</v>
      </c>
      <c r="AG1778">
        <v>2</v>
      </c>
      <c r="AH1778">
        <v>1</v>
      </c>
      <c r="AI1778" t="s">
        <v>948</v>
      </c>
      <c r="AJ1778">
        <v>35.836951999999997</v>
      </c>
      <c r="AK1778" t="s">
        <v>949</v>
      </c>
      <c r="AL1778">
        <v>-84.004210999999998</v>
      </c>
      <c r="AM1778">
        <v>25</v>
      </c>
      <c r="AN1778">
        <v>1625</v>
      </c>
      <c r="AO1778" t="s">
        <v>118</v>
      </c>
      <c r="AP1778">
        <v>90</v>
      </c>
      <c r="AQ1778">
        <v>87</v>
      </c>
      <c r="AR1778">
        <v>-192</v>
      </c>
      <c r="AZ1778">
        <v>300</v>
      </c>
      <c r="BA1778">
        <v>1</v>
      </c>
      <c r="BB1778" t="str">
        <f t="shared" si="89"/>
        <v xml:space="preserve">N162AM  </v>
      </c>
      <c r="BC1778">
        <v>1</v>
      </c>
      <c r="BE1778">
        <v>0</v>
      </c>
      <c r="BF1778">
        <v>0</v>
      </c>
      <c r="BG1778">
        <v>0</v>
      </c>
      <c r="BH1778">
        <v>1875</v>
      </c>
      <c r="BI1778">
        <v>1</v>
      </c>
      <c r="BJ1778">
        <v>1</v>
      </c>
      <c r="BK1778">
        <v>1</v>
      </c>
      <c r="BL1778">
        <v>0</v>
      </c>
      <c r="BO1778">
        <v>0</v>
      </c>
      <c r="BP1778">
        <v>0</v>
      </c>
      <c r="BW1778" t="str">
        <f>"14:52:15.963"</f>
        <v>14:52:15.963</v>
      </c>
      <c r="CJ1778">
        <v>3</v>
      </c>
      <c r="CK1778">
        <v>2</v>
      </c>
      <c r="CL1778">
        <v>0</v>
      </c>
      <c r="CM1778">
        <v>2</v>
      </c>
      <c r="CN1778">
        <v>0</v>
      </c>
      <c r="CO1778">
        <v>7</v>
      </c>
      <c r="CP1778" t="s">
        <v>119</v>
      </c>
      <c r="CQ1778">
        <v>232</v>
      </c>
      <c r="CR1778">
        <v>1</v>
      </c>
      <c r="CW1778">
        <v>15701895</v>
      </c>
      <c r="CY1778">
        <v>1</v>
      </c>
      <c r="CZ1778">
        <v>0</v>
      </c>
      <c r="DA1778">
        <v>0</v>
      </c>
      <c r="DB1778">
        <v>0</v>
      </c>
      <c r="DC1778">
        <v>0</v>
      </c>
      <c r="DD1778">
        <v>1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>"12/16/2021 14:52:16.195"</f>
        <v>12/16/2021 14:52:16.195</v>
      </c>
      <c r="C1779" t="str">
        <f t="shared" si="88"/>
        <v>FFDFD3C0</v>
      </c>
      <c r="D1779" t="s">
        <v>124</v>
      </c>
      <c r="E1779">
        <v>10</v>
      </c>
      <c r="F1779">
        <v>1010</v>
      </c>
      <c r="G1779" t="s">
        <v>130</v>
      </c>
      <c r="J1779" t="s">
        <v>125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>"14:52:15.961"</f>
        <v>14:52:15.961</v>
      </c>
      <c r="T1779" t="str">
        <f>"14:52:15.561"</f>
        <v>14:52:15.561</v>
      </c>
      <c r="U1779" t="str">
        <f t="shared" si="87"/>
        <v>A0F928</v>
      </c>
      <c r="V1779">
        <v>0</v>
      </c>
      <c r="W1779">
        <v>0</v>
      </c>
      <c r="X1779">
        <v>2</v>
      </c>
      <c r="Z1779">
        <v>0</v>
      </c>
      <c r="AA1779">
        <v>9</v>
      </c>
      <c r="AB1779">
        <v>3</v>
      </c>
      <c r="AC1779">
        <v>0</v>
      </c>
      <c r="AD1779">
        <v>10</v>
      </c>
      <c r="AE1779">
        <v>0</v>
      </c>
      <c r="AF1779">
        <v>3</v>
      </c>
      <c r="AG1779">
        <v>2</v>
      </c>
      <c r="AH1779">
        <v>1</v>
      </c>
      <c r="AI1779" t="s">
        <v>948</v>
      </c>
      <c r="AJ1779">
        <v>35.836951999999997</v>
      </c>
      <c r="AK1779" t="s">
        <v>949</v>
      </c>
      <c r="AL1779">
        <v>-84.004210999999998</v>
      </c>
      <c r="AM1779">
        <v>25</v>
      </c>
      <c r="AN1779">
        <v>1625</v>
      </c>
      <c r="AO1779" t="s">
        <v>118</v>
      </c>
      <c r="AP1779">
        <v>90</v>
      </c>
      <c r="AQ1779">
        <v>87</v>
      </c>
      <c r="AR1779">
        <v>-192</v>
      </c>
      <c r="AZ1779">
        <v>300</v>
      </c>
      <c r="BA1779">
        <v>1</v>
      </c>
      <c r="BB1779" t="str">
        <f t="shared" si="89"/>
        <v xml:space="preserve">N162AM  </v>
      </c>
      <c r="BC1779">
        <v>1</v>
      </c>
      <c r="BE1779">
        <v>0</v>
      </c>
      <c r="BF1779">
        <v>0</v>
      </c>
      <c r="BG1779">
        <v>0</v>
      </c>
      <c r="BH1779">
        <v>1875</v>
      </c>
      <c r="BI1779">
        <v>1</v>
      </c>
      <c r="BJ1779">
        <v>1</v>
      </c>
      <c r="BK1779">
        <v>1</v>
      </c>
      <c r="BL1779">
        <v>0</v>
      </c>
      <c r="BO1779">
        <v>0</v>
      </c>
      <c r="BP1779">
        <v>0</v>
      </c>
      <c r="BW1779" t="str">
        <f>"14:52:15.963"</f>
        <v>14:52:15.963</v>
      </c>
      <c r="CJ1779">
        <v>3</v>
      </c>
      <c r="CK1779">
        <v>2</v>
      </c>
      <c r="CL1779">
        <v>0</v>
      </c>
      <c r="CM1779">
        <v>2</v>
      </c>
      <c r="CN1779">
        <v>0</v>
      </c>
      <c r="CO1779">
        <v>7</v>
      </c>
      <c r="CP1779" t="s">
        <v>119</v>
      </c>
      <c r="CQ1779">
        <v>232</v>
      </c>
      <c r="CR1779">
        <v>1</v>
      </c>
      <c r="CW1779">
        <v>15701895</v>
      </c>
      <c r="CY1779">
        <v>1</v>
      </c>
      <c r="CZ1779">
        <v>0</v>
      </c>
      <c r="DA1779">
        <v>1</v>
      </c>
      <c r="DB1779">
        <v>0</v>
      </c>
      <c r="DC1779">
        <v>0</v>
      </c>
      <c r="DD1779">
        <v>1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>"12/16/2021 14:52:16.195"</f>
        <v>12/16/2021 14:52:16.195</v>
      </c>
      <c r="C1780" t="str">
        <f t="shared" si="88"/>
        <v>FFDFD3C0</v>
      </c>
      <c r="D1780" t="s">
        <v>113</v>
      </c>
      <c r="E1780">
        <v>8</v>
      </c>
      <c r="H1780">
        <v>176</v>
      </c>
      <c r="I1780" t="s">
        <v>114</v>
      </c>
      <c r="J1780" t="s">
        <v>115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>"14:52:15.961"</f>
        <v>14:52:15.961</v>
      </c>
      <c r="T1780" t="str">
        <f>"14:52:15.561"</f>
        <v>14:52:15.561</v>
      </c>
      <c r="U1780" t="str">
        <f t="shared" si="87"/>
        <v>A0F928</v>
      </c>
      <c r="V1780">
        <v>0</v>
      </c>
      <c r="W1780">
        <v>0</v>
      </c>
      <c r="X1780">
        <v>2</v>
      </c>
      <c r="Z1780">
        <v>0</v>
      </c>
      <c r="AA1780">
        <v>9</v>
      </c>
      <c r="AB1780">
        <v>3</v>
      </c>
      <c r="AC1780">
        <v>0</v>
      </c>
      <c r="AD1780">
        <v>10</v>
      </c>
      <c r="AE1780">
        <v>0</v>
      </c>
      <c r="AF1780">
        <v>3</v>
      </c>
      <c r="AG1780">
        <v>2</v>
      </c>
      <c r="AH1780">
        <v>1</v>
      </c>
      <c r="AI1780" t="s">
        <v>948</v>
      </c>
      <c r="AJ1780">
        <v>35.836951999999997</v>
      </c>
      <c r="AK1780" t="s">
        <v>949</v>
      </c>
      <c r="AL1780">
        <v>-84.004210999999998</v>
      </c>
      <c r="AM1780">
        <v>25</v>
      </c>
      <c r="AN1780">
        <v>1625</v>
      </c>
      <c r="AO1780" t="s">
        <v>118</v>
      </c>
      <c r="AP1780">
        <v>90</v>
      </c>
      <c r="AQ1780">
        <v>87</v>
      </c>
      <c r="AR1780">
        <v>-192</v>
      </c>
      <c r="AZ1780">
        <v>300</v>
      </c>
      <c r="BA1780">
        <v>1</v>
      </c>
      <c r="BB1780" t="str">
        <f t="shared" si="89"/>
        <v xml:space="preserve">N162AM  </v>
      </c>
      <c r="BC1780">
        <v>1</v>
      </c>
      <c r="BE1780">
        <v>0</v>
      </c>
      <c r="BF1780">
        <v>0</v>
      </c>
      <c r="BG1780">
        <v>0</v>
      </c>
      <c r="BH1780">
        <v>1875</v>
      </c>
      <c r="BI1780">
        <v>1</v>
      </c>
      <c r="BJ1780">
        <v>1</v>
      </c>
      <c r="BK1780">
        <v>1</v>
      </c>
      <c r="BL1780">
        <v>0</v>
      </c>
      <c r="BO1780">
        <v>0</v>
      </c>
      <c r="BP1780">
        <v>0</v>
      </c>
      <c r="BW1780" t="str">
        <f>"14:52:15.963"</f>
        <v>14:52:15.963</v>
      </c>
      <c r="CJ1780">
        <v>3</v>
      </c>
      <c r="CK1780">
        <v>2</v>
      </c>
      <c r="CL1780">
        <v>0</v>
      </c>
      <c r="CM1780">
        <v>2</v>
      </c>
      <c r="CN1780">
        <v>0</v>
      </c>
      <c r="CO1780">
        <v>7</v>
      </c>
      <c r="CP1780" t="s">
        <v>119</v>
      </c>
      <c r="CQ1780">
        <v>232</v>
      </c>
      <c r="CR1780">
        <v>1</v>
      </c>
      <c r="CW1780">
        <v>15701895</v>
      </c>
      <c r="CY1780">
        <v>1</v>
      </c>
      <c r="CZ1780">
        <v>0</v>
      </c>
      <c r="DA1780">
        <v>1</v>
      </c>
      <c r="DB1780">
        <v>0</v>
      </c>
      <c r="DC1780">
        <v>0</v>
      </c>
      <c r="DD1780">
        <v>1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>"12/16/2021 14:52:16.195"</f>
        <v>12/16/2021 14:52:16.195</v>
      </c>
      <c r="C1781" t="str">
        <f t="shared" si="88"/>
        <v>FFDFD3C0</v>
      </c>
      <c r="D1781" t="s">
        <v>124</v>
      </c>
      <c r="E1781">
        <v>5</v>
      </c>
      <c r="F1781">
        <v>1005</v>
      </c>
      <c r="G1781" t="s">
        <v>114</v>
      </c>
      <c r="J1781" t="s">
        <v>125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>"14:52:15.961"</f>
        <v>14:52:15.961</v>
      </c>
      <c r="T1781" t="str">
        <f>"14:52:15.561"</f>
        <v>14:52:15.561</v>
      </c>
      <c r="U1781" t="str">
        <f t="shared" si="87"/>
        <v>A0F928</v>
      </c>
      <c r="V1781">
        <v>0</v>
      </c>
      <c r="W1781">
        <v>0</v>
      </c>
      <c r="X1781">
        <v>2</v>
      </c>
      <c r="Z1781">
        <v>0</v>
      </c>
      <c r="AA1781">
        <v>9</v>
      </c>
      <c r="AB1781">
        <v>3</v>
      </c>
      <c r="AC1781">
        <v>0</v>
      </c>
      <c r="AD1781">
        <v>10</v>
      </c>
      <c r="AE1781">
        <v>0</v>
      </c>
      <c r="AF1781">
        <v>3</v>
      </c>
      <c r="AG1781">
        <v>2</v>
      </c>
      <c r="AH1781">
        <v>1</v>
      </c>
      <c r="AI1781" t="s">
        <v>948</v>
      </c>
      <c r="AJ1781">
        <v>35.836951999999997</v>
      </c>
      <c r="AK1781" t="s">
        <v>949</v>
      </c>
      <c r="AL1781">
        <v>-84.004210999999998</v>
      </c>
      <c r="AM1781">
        <v>25</v>
      </c>
      <c r="AN1781">
        <v>1625</v>
      </c>
      <c r="AO1781" t="s">
        <v>118</v>
      </c>
      <c r="AP1781">
        <v>90</v>
      </c>
      <c r="AQ1781">
        <v>87</v>
      </c>
      <c r="AR1781">
        <v>-192</v>
      </c>
      <c r="AZ1781">
        <v>300</v>
      </c>
      <c r="BA1781">
        <v>1</v>
      </c>
      <c r="BB1781" t="str">
        <f t="shared" si="89"/>
        <v xml:space="preserve">N162AM  </v>
      </c>
      <c r="BC1781">
        <v>1</v>
      </c>
      <c r="BE1781">
        <v>0</v>
      </c>
      <c r="BF1781">
        <v>0</v>
      </c>
      <c r="BG1781">
        <v>0</v>
      </c>
      <c r="BH1781">
        <v>1875</v>
      </c>
      <c r="BI1781">
        <v>1</v>
      </c>
      <c r="BJ1781">
        <v>1</v>
      </c>
      <c r="BK1781">
        <v>1</v>
      </c>
      <c r="BL1781">
        <v>0</v>
      </c>
      <c r="BO1781">
        <v>0</v>
      </c>
      <c r="BP1781">
        <v>0</v>
      </c>
      <c r="BW1781" t="str">
        <f>"14:52:15.963"</f>
        <v>14:52:15.963</v>
      </c>
      <c r="CJ1781">
        <v>3</v>
      </c>
      <c r="CK1781">
        <v>2</v>
      </c>
      <c r="CL1781">
        <v>0</v>
      </c>
      <c r="CM1781">
        <v>2</v>
      </c>
      <c r="CN1781">
        <v>0</v>
      </c>
      <c r="CO1781">
        <v>7</v>
      </c>
      <c r="CP1781" t="s">
        <v>119</v>
      </c>
      <c r="CQ1781">
        <v>232</v>
      </c>
      <c r="CR1781">
        <v>1</v>
      </c>
      <c r="CW1781">
        <v>15701895</v>
      </c>
      <c r="CY1781">
        <v>1</v>
      </c>
      <c r="CZ1781">
        <v>0</v>
      </c>
      <c r="DA1781">
        <v>1</v>
      </c>
      <c r="DB1781">
        <v>0</v>
      </c>
      <c r="DC1781">
        <v>0</v>
      </c>
      <c r="DD1781">
        <v>1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>"12/16/2021 14:52:17.195"</f>
        <v>12/16/2021 14:52:17.195</v>
      </c>
      <c r="C1782" t="str">
        <f t="shared" si="88"/>
        <v>FFDFD3C0</v>
      </c>
      <c r="D1782" t="s">
        <v>124</v>
      </c>
      <c r="E1782">
        <v>5</v>
      </c>
      <c r="F1782">
        <v>1005</v>
      </c>
      <c r="G1782" t="s">
        <v>114</v>
      </c>
      <c r="J1782" t="s">
        <v>125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>"14:52:17.008"</f>
        <v>14:52:17.008</v>
      </c>
      <c r="T1782" t="str">
        <f>"14:52:16.508"</f>
        <v>14:52:16.508</v>
      </c>
      <c r="U1782" t="str">
        <f t="shared" si="87"/>
        <v>A0F928</v>
      </c>
      <c r="V1782">
        <v>0</v>
      </c>
      <c r="W1782">
        <v>0</v>
      </c>
      <c r="X1782">
        <v>2</v>
      </c>
      <c r="Z1782">
        <v>0</v>
      </c>
      <c r="AA1782">
        <v>9</v>
      </c>
      <c r="AB1782">
        <v>3</v>
      </c>
      <c r="AC1782">
        <v>0</v>
      </c>
      <c r="AD1782">
        <v>10</v>
      </c>
      <c r="AE1782">
        <v>0</v>
      </c>
      <c r="AF1782">
        <v>3</v>
      </c>
      <c r="AG1782">
        <v>2</v>
      </c>
      <c r="AH1782">
        <v>1</v>
      </c>
      <c r="AI1782" t="s">
        <v>950</v>
      </c>
      <c r="AJ1782">
        <v>35.837358999999999</v>
      </c>
      <c r="AK1782" t="s">
        <v>951</v>
      </c>
      <c r="AL1782">
        <v>-84.003696000000005</v>
      </c>
      <c r="AM1782">
        <v>25</v>
      </c>
      <c r="AN1782">
        <v>1625</v>
      </c>
      <c r="AO1782" t="s">
        <v>118</v>
      </c>
      <c r="AP1782">
        <v>90</v>
      </c>
      <c r="AQ1782">
        <v>87</v>
      </c>
      <c r="AR1782">
        <v>-256</v>
      </c>
      <c r="AZ1782">
        <v>300</v>
      </c>
      <c r="BA1782">
        <v>1</v>
      </c>
      <c r="BB1782" t="str">
        <f t="shared" si="89"/>
        <v xml:space="preserve">N162AM  </v>
      </c>
      <c r="BC1782">
        <v>1</v>
      </c>
      <c r="BE1782">
        <v>0</v>
      </c>
      <c r="BF1782">
        <v>0</v>
      </c>
      <c r="BG1782">
        <v>0</v>
      </c>
      <c r="BH1782">
        <v>1875</v>
      </c>
      <c r="BI1782">
        <v>1</v>
      </c>
      <c r="BJ1782">
        <v>1</v>
      </c>
      <c r="BK1782">
        <v>1</v>
      </c>
      <c r="BL1782">
        <v>0</v>
      </c>
      <c r="BO1782">
        <v>0</v>
      </c>
      <c r="BP1782">
        <v>0</v>
      </c>
      <c r="BW1782" t="str">
        <f>"14:52:17.015"</f>
        <v>14:52:17.015</v>
      </c>
      <c r="CJ1782">
        <v>3</v>
      </c>
      <c r="CK1782">
        <v>2</v>
      </c>
      <c r="CL1782">
        <v>0</v>
      </c>
      <c r="CM1782">
        <v>2</v>
      </c>
      <c r="CN1782">
        <v>0</v>
      </c>
      <c r="CO1782">
        <v>7</v>
      </c>
      <c r="CP1782" t="s">
        <v>119</v>
      </c>
      <c r="CQ1782">
        <v>232</v>
      </c>
      <c r="CR1782">
        <v>1</v>
      </c>
      <c r="CW1782">
        <v>15703439</v>
      </c>
      <c r="CY1782">
        <v>1</v>
      </c>
      <c r="CZ1782">
        <v>0</v>
      </c>
      <c r="DA1782">
        <v>0</v>
      </c>
      <c r="DB1782">
        <v>0</v>
      </c>
      <c r="DC1782">
        <v>0</v>
      </c>
      <c r="DD1782">
        <v>1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>"12/16/2021 14:52:17.195"</f>
        <v>12/16/2021 14:52:17.195</v>
      </c>
      <c r="C1783" t="str">
        <f t="shared" si="88"/>
        <v>FFDFD3C0</v>
      </c>
      <c r="D1783" t="s">
        <v>113</v>
      </c>
      <c r="E1783">
        <v>8</v>
      </c>
      <c r="H1783">
        <v>176</v>
      </c>
      <c r="I1783" t="s">
        <v>114</v>
      </c>
      <c r="J1783" t="s">
        <v>115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>"14:52:17.008"</f>
        <v>14:52:17.008</v>
      </c>
      <c r="T1783" t="str">
        <f>"14:52:16.508"</f>
        <v>14:52:16.508</v>
      </c>
      <c r="U1783" t="str">
        <f t="shared" si="87"/>
        <v>A0F928</v>
      </c>
      <c r="V1783">
        <v>0</v>
      </c>
      <c r="W1783">
        <v>0</v>
      </c>
      <c r="X1783">
        <v>2</v>
      </c>
      <c r="Z1783">
        <v>0</v>
      </c>
      <c r="AA1783">
        <v>9</v>
      </c>
      <c r="AB1783">
        <v>3</v>
      </c>
      <c r="AC1783">
        <v>0</v>
      </c>
      <c r="AD1783">
        <v>10</v>
      </c>
      <c r="AE1783">
        <v>0</v>
      </c>
      <c r="AF1783">
        <v>3</v>
      </c>
      <c r="AG1783">
        <v>2</v>
      </c>
      <c r="AH1783">
        <v>1</v>
      </c>
      <c r="AI1783" t="s">
        <v>950</v>
      </c>
      <c r="AJ1783">
        <v>35.837358999999999</v>
      </c>
      <c r="AK1783" t="s">
        <v>951</v>
      </c>
      <c r="AL1783">
        <v>-84.003696000000005</v>
      </c>
      <c r="AM1783">
        <v>25</v>
      </c>
      <c r="AN1783">
        <v>1625</v>
      </c>
      <c r="AO1783" t="s">
        <v>118</v>
      </c>
      <c r="AP1783">
        <v>90</v>
      </c>
      <c r="AQ1783">
        <v>87</v>
      </c>
      <c r="AR1783">
        <v>-256</v>
      </c>
      <c r="AZ1783">
        <v>300</v>
      </c>
      <c r="BA1783">
        <v>1</v>
      </c>
      <c r="BB1783" t="str">
        <f t="shared" si="89"/>
        <v xml:space="preserve">N162AM  </v>
      </c>
      <c r="BC1783">
        <v>1</v>
      </c>
      <c r="BE1783">
        <v>0</v>
      </c>
      <c r="BF1783">
        <v>0</v>
      </c>
      <c r="BG1783">
        <v>0</v>
      </c>
      <c r="BH1783">
        <v>1875</v>
      </c>
      <c r="BI1783">
        <v>1</v>
      </c>
      <c r="BJ1783">
        <v>1</v>
      </c>
      <c r="BK1783">
        <v>1</v>
      </c>
      <c r="BL1783">
        <v>0</v>
      </c>
      <c r="BO1783">
        <v>0</v>
      </c>
      <c r="BP1783">
        <v>0</v>
      </c>
      <c r="BW1783" t="str">
        <f>"14:52:17.015"</f>
        <v>14:52:17.015</v>
      </c>
      <c r="CJ1783">
        <v>3</v>
      </c>
      <c r="CK1783">
        <v>2</v>
      </c>
      <c r="CL1783">
        <v>0</v>
      </c>
      <c r="CM1783">
        <v>2</v>
      </c>
      <c r="CN1783">
        <v>0</v>
      </c>
      <c r="CO1783">
        <v>7</v>
      </c>
      <c r="CP1783" t="s">
        <v>119</v>
      </c>
      <c r="CQ1783">
        <v>232</v>
      </c>
      <c r="CR1783">
        <v>1</v>
      </c>
      <c r="CW1783">
        <v>15703439</v>
      </c>
      <c r="CY1783">
        <v>1</v>
      </c>
      <c r="CZ1783">
        <v>0</v>
      </c>
      <c r="DA1783">
        <v>1</v>
      </c>
      <c r="DB1783">
        <v>0</v>
      </c>
      <c r="DC1783">
        <v>0</v>
      </c>
      <c r="DD1783">
        <v>1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>"12/16/2021 14:52:17.226"</f>
        <v>12/16/2021 14:52:17.226</v>
      </c>
      <c r="C1784" t="str">
        <f t="shared" si="88"/>
        <v>FFDFD3C0</v>
      </c>
      <c r="D1784" t="s">
        <v>133</v>
      </c>
      <c r="E1784">
        <v>44</v>
      </c>
      <c r="H1784">
        <v>131</v>
      </c>
      <c r="I1784" t="s">
        <v>134</v>
      </c>
      <c r="J1784" t="s">
        <v>135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>"14:52:17.008"</f>
        <v>14:52:17.008</v>
      </c>
      <c r="T1784" t="str">
        <f>"14:52:16.508"</f>
        <v>14:52:16.508</v>
      </c>
      <c r="U1784" t="str">
        <f t="shared" si="87"/>
        <v>A0F928</v>
      </c>
      <c r="V1784">
        <v>0</v>
      </c>
      <c r="W1784">
        <v>0</v>
      </c>
      <c r="X1784">
        <v>2</v>
      </c>
      <c r="Z1784">
        <v>0</v>
      </c>
      <c r="AA1784">
        <v>9</v>
      </c>
      <c r="AB1784">
        <v>3</v>
      </c>
      <c r="AC1784">
        <v>0</v>
      </c>
      <c r="AD1784">
        <v>10</v>
      </c>
      <c r="AE1784">
        <v>0</v>
      </c>
      <c r="AF1784">
        <v>3</v>
      </c>
      <c r="AG1784">
        <v>2</v>
      </c>
      <c r="AH1784">
        <v>1</v>
      </c>
      <c r="AI1784" t="s">
        <v>950</v>
      </c>
      <c r="AJ1784">
        <v>35.837358999999999</v>
      </c>
      <c r="AK1784" t="s">
        <v>951</v>
      </c>
      <c r="AL1784">
        <v>-84.003696000000005</v>
      </c>
      <c r="AM1784">
        <v>25</v>
      </c>
      <c r="AN1784">
        <v>1625</v>
      </c>
      <c r="AO1784" t="s">
        <v>118</v>
      </c>
      <c r="AP1784">
        <v>90</v>
      </c>
      <c r="AQ1784">
        <v>87</v>
      </c>
      <c r="AR1784">
        <v>-256</v>
      </c>
      <c r="AZ1784">
        <v>300</v>
      </c>
      <c r="BA1784">
        <v>1</v>
      </c>
      <c r="BB1784" t="str">
        <f t="shared" si="89"/>
        <v xml:space="preserve">N162AM  </v>
      </c>
      <c r="BC1784">
        <v>1</v>
      </c>
      <c r="BE1784">
        <v>0</v>
      </c>
      <c r="BF1784">
        <v>0</v>
      </c>
      <c r="BG1784">
        <v>0</v>
      </c>
      <c r="BH1784">
        <v>1875</v>
      </c>
      <c r="BI1784">
        <v>1</v>
      </c>
      <c r="BJ1784">
        <v>1</v>
      </c>
      <c r="BK1784">
        <v>1</v>
      </c>
      <c r="BL1784">
        <v>0</v>
      </c>
      <c r="BO1784">
        <v>0</v>
      </c>
      <c r="BP1784">
        <v>0</v>
      </c>
      <c r="BW1784" t="str">
        <f>"14:52:17.015"</f>
        <v>14:52:17.015</v>
      </c>
      <c r="CJ1784">
        <v>3</v>
      </c>
      <c r="CK1784">
        <v>2</v>
      </c>
      <c r="CL1784">
        <v>0</v>
      </c>
      <c r="CM1784">
        <v>2</v>
      </c>
      <c r="CN1784">
        <v>0</v>
      </c>
      <c r="CO1784">
        <v>7</v>
      </c>
      <c r="CP1784" t="s">
        <v>119</v>
      </c>
      <c r="CQ1784">
        <v>232</v>
      </c>
      <c r="CR1784">
        <v>1</v>
      </c>
      <c r="CW1784">
        <v>15703439</v>
      </c>
      <c r="CY1784">
        <v>1</v>
      </c>
      <c r="CZ1784">
        <v>0</v>
      </c>
      <c r="DA1784">
        <v>1</v>
      </c>
      <c r="DB1784">
        <v>0</v>
      </c>
      <c r="DC1784">
        <v>0</v>
      </c>
      <c r="DD1784">
        <v>1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>"12/16/2021 14:52:17.226"</f>
        <v>12/16/2021 14:52:17.226</v>
      </c>
      <c r="C1785" t="str">
        <f t="shared" si="88"/>
        <v>FFDFD3C0</v>
      </c>
      <c r="D1785" t="s">
        <v>124</v>
      </c>
      <c r="E1785">
        <v>10</v>
      </c>
      <c r="F1785">
        <v>1010</v>
      </c>
      <c r="G1785" t="s">
        <v>130</v>
      </c>
      <c r="J1785" t="s">
        <v>125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>"14:52:17.008"</f>
        <v>14:52:17.008</v>
      </c>
      <c r="T1785" t="str">
        <f>"14:52:16.508"</f>
        <v>14:52:16.508</v>
      </c>
      <c r="U1785" t="str">
        <f t="shared" si="87"/>
        <v>A0F928</v>
      </c>
      <c r="V1785">
        <v>0</v>
      </c>
      <c r="W1785">
        <v>0</v>
      </c>
      <c r="X1785">
        <v>2</v>
      </c>
      <c r="Z1785">
        <v>0</v>
      </c>
      <c r="AA1785">
        <v>9</v>
      </c>
      <c r="AB1785">
        <v>3</v>
      </c>
      <c r="AC1785">
        <v>0</v>
      </c>
      <c r="AD1785">
        <v>10</v>
      </c>
      <c r="AE1785">
        <v>0</v>
      </c>
      <c r="AF1785">
        <v>3</v>
      </c>
      <c r="AG1785">
        <v>2</v>
      </c>
      <c r="AH1785">
        <v>1</v>
      </c>
      <c r="AI1785" t="s">
        <v>950</v>
      </c>
      <c r="AJ1785">
        <v>35.837358999999999</v>
      </c>
      <c r="AK1785" t="s">
        <v>951</v>
      </c>
      <c r="AL1785">
        <v>-84.003696000000005</v>
      </c>
      <c r="AM1785">
        <v>25</v>
      </c>
      <c r="AN1785">
        <v>1625</v>
      </c>
      <c r="AO1785" t="s">
        <v>118</v>
      </c>
      <c r="AP1785">
        <v>90</v>
      </c>
      <c r="AQ1785">
        <v>87</v>
      </c>
      <c r="AR1785">
        <v>-256</v>
      </c>
      <c r="AZ1785">
        <v>300</v>
      </c>
      <c r="BA1785">
        <v>1</v>
      </c>
      <c r="BB1785" t="str">
        <f t="shared" si="89"/>
        <v xml:space="preserve">N162AM  </v>
      </c>
      <c r="BC1785">
        <v>1</v>
      </c>
      <c r="BE1785">
        <v>0</v>
      </c>
      <c r="BF1785">
        <v>0</v>
      </c>
      <c r="BG1785">
        <v>0</v>
      </c>
      <c r="BH1785">
        <v>1875</v>
      </c>
      <c r="BI1785">
        <v>1</v>
      </c>
      <c r="BJ1785">
        <v>1</v>
      </c>
      <c r="BK1785">
        <v>1</v>
      </c>
      <c r="BL1785">
        <v>0</v>
      </c>
      <c r="BO1785">
        <v>0</v>
      </c>
      <c r="BP1785">
        <v>0</v>
      </c>
      <c r="BW1785" t="str">
        <f>"14:52:17.015"</f>
        <v>14:52:17.015</v>
      </c>
      <c r="CJ1785">
        <v>3</v>
      </c>
      <c r="CK1785">
        <v>2</v>
      </c>
      <c r="CL1785">
        <v>0</v>
      </c>
      <c r="CM1785">
        <v>2</v>
      </c>
      <c r="CN1785">
        <v>0</v>
      </c>
      <c r="CO1785">
        <v>7</v>
      </c>
      <c r="CP1785" t="s">
        <v>119</v>
      </c>
      <c r="CQ1785">
        <v>232</v>
      </c>
      <c r="CR1785">
        <v>1</v>
      </c>
      <c r="CW1785">
        <v>15703439</v>
      </c>
      <c r="CY1785">
        <v>1</v>
      </c>
      <c r="CZ1785">
        <v>0</v>
      </c>
      <c r="DA1785">
        <v>1</v>
      </c>
      <c r="DB1785">
        <v>0</v>
      </c>
      <c r="DC1785">
        <v>0</v>
      </c>
      <c r="DD1785">
        <v>1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>"12/16/2021 14:52:18.195"</f>
        <v>12/16/2021 14:52:18.195</v>
      </c>
      <c r="C1786" t="str">
        <f t="shared" si="88"/>
        <v>FFDFD3C0</v>
      </c>
      <c r="D1786" t="s">
        <v>133</v>
      </c>
      <c r="E1786">
        <v>44</v>
      </c>
      <c r="H1786">
        <v>131</v>
      </c>
      <c r="I1786" t="s">
        <v>134</v>
      </c>
      <c r="J1786" t="s">
        <v>135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>"14:52:18.008"</f>
        <v>14:52:18.008</v>
      </c>
      <c r="T1786" t="str">
        <f>"14:52:17.508"</f>
        <v>14:52:17.508</v>
      </c>
      <c r="U1786" t="str">
        <f t="shared" si="87"/>
        <v>A0F928</v>
      </c>
      <c r="V1786">
        <v>0</v>
      </c>
      <c r="W1786">
        <v>0</v>
      </c>
      <c r="X1786">
        <v>2</v>
      </c>
      <c r="Z1786">
        <v>0</v>
      </c>
      <c r="AA1786">
        <v>9</v>
      </c>
      <c r="AB1786">
        <v>3</v>
      </c>
      <c r="AC1786">
        <v>0</v>
      </c>
      <c r="AD1786">
        <v>10</v>
      </c>
      <c r="AE1786">
        <v>0</v>
      </c>
      <c r="AF1786">
        <v>3</v>
      </c>
      <c r="AG1786">
        <v>2</v>
      </c>
      <c r="AH1786">
        <v>1</v>
      </c>
      <c r="AI1786" t="s">
        <v>952</v>
      </c>
      <c r="AJ1786">
        <v>35.837766999999999</v>
      </c>
      <c r="AK1786" t="s">
        <v>953</v>
      </c>
      <c r="AL1786">
        <v>-84.003180999999998</v>
      </c>
      <c r="AM1786">
        <v>25</v>
      </c>
      <c r="AN1786">
        <v>1600</v>
      </c>
      <c r="AO1786" t="s">
        <v>118</v>
      </c>
      <c r="AP1786">
        <v>91</v>
      </c>
      <c r="AQ1786">
        <v>87</v>
      </c>
      <c r="AR1786">
        <v>-256</v>
      </c>
      <c r="AZ1786">
        <v>300</v>
      </c>
      <c r="BA1786">
        <v>1</v>
      </c>
      <c r="BB1786" t="str">
        <f t="shared" si="89"/>
        <v xml:space="preserve">N162AM  </v>
      </c>
      <c r="BC1786">
        <v>1</v>
      </c>
      <c r="BE1786">
        <v>0</v>
      </c>
      <c r="BF1786">
        <v>0</v>
      </c>
      <c r="BG1786">
        <v>0</v>
      </c>
      <c r="BH1786">
        <v>1850</v>
      </c>
      <c r="BI1786">
        <v>1</v>
      </c>
      <c r="BJ1786">
        <v>1</v>
      </c>
      <c r="BK1786">
        <v>1</v>
      </c>
      <c r="BL1786">
        <v>0</v>
      </c>
      <c r="BO1786">
        <v>0</v>
      </c>
      <c r="BP1786">
        <v>0</v>
      </c>
      <c r="BW1786" t="str">
        <f>"14:52:18.012"</f>
        <v>14:52:18.012</v>
      </c>
      <c r="CJ1786">
        <v>3</v>
      </c>
      <c r="CK1786">
        <v>2</v>
      </c>
      <c r="CL1786">
        <v>0</v>
      </c>
      <c r="CM1786">
        <v>2</v>
      </c>
      <c r="CN1786">
        <v>0</v>
      </c>
      <c r="CO1786">
        <v>7</v>
      </c>
      <c r="CP1786" t="s">
        <v>119</v>
      </c>
      <c r="CQ1786">
        <v>232</v>
      </c>
      <c r="CR1786">
        <v>1</v>
      </c>
      <c r="CW1786">
        <v>15704885</v>
      </c>
      <c r="CY1786">
        <v>1</v>
      </c>
      <c r="CZ1786">
        <v>0</v>
      </c>
      <c r="DA1786">
        <v>0</v>
      </c>
      <c r="DB1786">
        <v>0</v>
      </c>
      <c r="DC1786">
        <v>0</v>
      </c>
      <c r="DD1786">
        <v>1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>"12/16/2021 14:52:18.226"</f>
        <v>12/16/2021 14:52:18.226</v>
      </c>
      <c r="C1787" t="str">
        <f t="shared" si="88"/>
        <v>FFDFD3C0</v>
      </c>
      <c r="D1787" t="s">
        <v>124</v>
      </c>
      <c r="E1787">
        <v>5</v>
      </c>
      <c r="F1787">
        <v>1005</v>
      </c>
      <c r="G1787" t="s">
        <v>114</v>
      </c>
      <c r="J1787" t="s">
        <v>125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>"14:52:18.008"</f>
        <v>14:52:18.008</v>
      </c>
      <c r="T1787" t="str">
        <f>"14:52:17.508"</f>
        <v>14:52:17.508</v>
      </c>
      <c r="U1787" t="str">
        <f t="shared" si="87"/>
        <v>A0F928</v>
      </c>
      <c r="V1787">
        <v>0</v>
      </c>
      <c r="W1787">
        <v>0</v>
      </c>
      <c r="X1787">
        <v>2</v>
      </c>
      <c r="Z1787">
        <v>0</v>
      </c>
      <c r="AA1787">
        <v>9</v>
      </c>
      <c r="AB1787">
        <v>3</v>
      </c>
      <c r="AC1787">
        <v>0</v>
      </c>
      <c r="AD1787">
        <v>10</v>
      </c>
      <c r="AE1787">
        <v>0</v>
      </c>
      <c r="AF1787">
        <v>3</v>
      </c>
      <c r="AG1787">
        <v>2</v>
      </c>
      <c r="AH1787">
        <v>1</v>
      </c>
      <c r="AI1787" t="s">
        <v>952</v>
      </c>
      <c r="AJ1787">
        <v>35.837766999999999</v>
      </c>
      <c r="AK1787" t="s">
        <v>953</v>
      </c>
      <c r="AL1787">
        <v>-84.003180999999998</v>
      </c>
      <c r="AM1787">
        <v>25</v>
      </c>
      <c r="AN1787">
        <v>1600</v>
      </c>
      <c r="AO1787" t="s">
        <v>118</v>
      </c>
      <c r="AP1787">
        <v>91</v>
      </c>
      <c r="AQ1787">
        <v>87</v>
      </c>
      <c r="AR1787">
        <v>-256</v>
      </c>
      <c r="AZ1787">
        <v>300</v>
      </c>
      <c r="BA1787">
        <v>1</v>
      </c>
      <c r="BB1787" t="str">
        <f t="shared" si="89"/>
        <v xml:space="preserve">N162AM  </v>
      </c>
      <c r="BC1787">
        <v>1</v>
      </c>
      <c r="BE1787">
        <v>0</v>
      </c>
      <c r="BF1787">
        <v>0</v>
      </c>
      <c r="BG1787">
        <v>0</v>
      </c>
      <c r="BH1787">
        <v>1850</v>
      </c>
      <c r="BI1787">
        <v>1</v>
      </c>
      <c r="BJ1787">
        <v>1</v>
      </c>
      <c r="BK1787">
        <v>1</v>
      </c>
      <c r="BL1787">
        <v>0</v>
      </c>
      <c r="BO1787">
        <v>0</v>
      </c>
      <c r="BP1787">
        <v>0</v>
      </c>
      <c r="BW1787" t="str">
        <f>"14:52:18.012"</f>
        <v>14:52:18.012</v>
      </c>
      <c r="CJ1787">
        <v>3</v>
      </c>
      <c r="CK1787">
        <v>2</v>
      </c>
      <c r="CL1787">
        <v>0</v>
      </c>
      <c r="CM1787">
        <v>2</v>
      </c>
      <c r="CN1787">
        <v>0</v>
      </c>
      <c r="CO1787">
        <v>7</v>
      </c>
      <c r="CP1787" t="s">
        <v>119</v>
      </c>
      <c r="CQ1787">
        <v>232</v>
      </c>
      <c r="CR1787">
        <v>1</v>
      </c>
      <c r="CW1787">
        <v>15704885</v>
      </c>
      <c r="CY1787">
        <v>1</v>
      </c>
      <c r="CZ1787">
        <v>0</v>
      </c>
      <c r="DA1787">
        <v>1</v>
      </c>
      <c r="DB1787">
        <v>0</v>
      </c>
      <c r="DC1787">
        <v>0</v>
      </c>
      <c r="DD1787">
        <v>1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>"12/16/2021 14:52:18.226"</f>
        <v>12/16/2021 14:52:18.226</v>
      </c>
      <c r="C1788" t="str">
        <f t="shared" si="88"/>
        <v>FFDFD3C0</v>
      </c>
      <c r="D1788" t="s">
        <v>113</v>
      </c>
      <c r="E1788">
        <v>8</v>
      </c>
      <c r="H1788">
        <v>176</v>
      </c>
      <c r="I1788" t="s">
        <v>114</v>
      </c>
      <c r="J1788" t="s">
        <v>115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>"14:52:18.008"</f>
        <v>14:52:18.008</v>
      </c>
      <c r="T1788" t="str">
        <f>"14:52:17.508"</f>
        <v>14:52:17.508</v>
      </c>
      <c r="U1788" t="str">
        <f t="shared" si="87"/>
        <v>A0F928</v>
      </c>
      <c r="V1788">
        <v>0</v>
      </c>
      <c r="W1788">
        <v>0</v>
      </c>
      <c r="X1788">
        <v>2</v>
      </c>
      <c r="Z1788">
        <v>0</v>
      </c>
      <c r="AA1788">
        <v>9</v>
      </c>
      <c r="AB1788">
        <v>3</v>
      </c>
      <c r="AC1788">
        <v>0</v>
      </c>
      <c r="AD1788">
        <v>10</v>
      </c>
      <c r="AE1788">
        <v>0</v>
      </c>
      <c r="AF1788">
        <v>3</v>
      </c>
      <c r="AG1788">
        <v>2</v>
      </c>
      <c r="AH1788">
        <v>1</v>
      </c>
      <c r="AI1788" t="s">
        <v>952</v>
      </c>
      <c r="AJ1788">
        <v>35.837766999999999</v>
      </c>
      <c r="AK1788" t="s">
        <v>953</v>
      </c>
      <c r="AL1788">
        <v>-84.003180999999998</v>
      </c>
      <c r="AM1788">
        <v>25</v>
      </c>
      <c r="AN1788">
        <v>1600</v>
      </c>
      <c r="AO1788" t="s">
        <v>118</v>
      </c>
      <c r="AP1788">
        <v>91</v>
      </c>
      <c r="AQ1788">
        <v>87</v>
      </c>
      <c r="AR1788">
        <v>-256</v>
      </c>
      <c r="AZ1788">
        <v>300</v>
      </c>
      <c r="BA1788">
        <v>1</v>
      </c>
      <c r="BB1788" t="str">
        <f t="shared" si="89"/>
        <v xml:space="preserve">N162AM  </v>
      </c>
      <c r="BC1788">
        <v>1</v>
      </c>
      <c r="BE1788">
        <v>0</v>
      </c>
      <c r="BF1788">
        <v>0</v>
      </c>
      <c r="BG1788">
        <v>0</v>
      </c>
      <c r="BH1788">
        <v>1850</v>
      </c>
      <c r="BI1788">
        <v>1</v>
      </c>
      <c r="BJ1788">
        <v>1</v>
      </c>
      <c r="BK1788">
        <v>1</v>
      </c>
      <c r="BL1788">
        <v>0</v>
      </c>
      <c r="BO1788">
        <v>0</v>
      </c>
      <c r="BP1788">
        <v>0</v>
      </c>
      <c r="BW1788" t="str">
        <f>"14:52:18.012"</f>
        <v>14:52:18.012</v>
      </c>
      <c r="CJ1788">
        <v>3</v>
      </c>
      <c r="CK1788">
        <v>2</v>
      </c>
      <c r="CL1788">
        <v>0</v>
      </c>
      <c r="CM1788">
        <v>2</v>
      </c>
      <c r="CN1788">
        <v>0</v>
      </c>
      <c r="CO1788">
        <v>7</v>
      </c>
      <c r="CP1788" t="s">
        <v>119</v>
      </c>
      <c r="CQ1788">
        <v>232</v>
      </c>
      <c r="CR1788">
        <v>1</v>
      </c>
      <c r="CW1788">
        <v>15704885</v>
      </c>
      <c r="CY1788">
        <v>1</v>
      </c>
      <c r="CZ1788">
        <v>0</v>
      </c>
      <c r="DA1788">
        <v>1</v>
      </c>
      <c r="DB1788">
        <v>0</v>
      </c>
      <c r="DC1788">
        <v>0</v>
      </c>
      <c r="DD1788">
        <v>1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>"12/16/2021 14:52:18.226"</f>
        <v>12/16/2021 14:52:18.226</v>
      </c>
      <c r="C1789" t="str">
        <f t="shared" si="88"/>
        <v>FFDFD3C0</v>
      </c>
      <c r="D1789" t="s">
        <v>124</v>
      </c>
      <c r="E1789">
        <v>10</v>
      </c>
      <c r="F1789">
        <v>1010</v>
      </c>
      <c r="G1789" t="s">
        <v>130</v>
      </c>
      <c r="J1789" t="s">
        <v>125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>"14:52:18.008"</f>
        <v>14:52:18.008</v>
      </c>
      <c r="T1789" t="str">
        <f>"14:52:17.508"</f>
        <v>14:52:17.508</v>
      </c>
      <c r="U1789" t="str">
        <f t="shared" si="87"/>
        <v>A0F928</v>
      </c>
      <c r="V1789">
        <v>0</v>
      </c>
      <c r="W1789">
        <v>0</v>
      </c>
      <c r="X1789">
        <v>2</v>
      </c>
      <c r="Z1789">
        <v>0</v>
      </c>
      <c r="AA1789">
        <v>9</v>
      </c>
      <c r="AB1789">
        <v>3</v>
      </c>
      <c r="AC1789">
        <v>0</v>
      </c>
      <c r="AD1789">
        <v>10</v>
      </c>
      <c r="AE1789">
        <v>0</v>
      </c>
      <c r="AF1789">
        <v>3</v>
      </c>
      <c r="AG1789">
        <v>2</v>
      </c>
      <c r="AH1789">
        <v>1</v>
      </c>
      <c r="AI1789" t="s">
        <v>952</v>
      </c>
      <c r="AJ1789">
        <v>35.837766999999999</v>
      </c>
      <c r="AK1789" t="s">
        <v>953</v>
      </c>
      <c r="AL1789">
        <v>-84.003180999999998</v>
      </c>
      <c r="AM1789">
        <v>25</v>
      </c>
      <c r="AN1789">
        <v>1600</v>
      </c>
      <c r="AO1789" t="s">
        <v>118</v>
      </c>
      <c r="AP1789">
        <v>91</v>
      </c>
      <c r="AQ1789">
        <v>87</v>
      </c>
      <c r="AR1789">
        <v>-256</v>
      </c>
      <c r="AZ1789">
        <v>300</v>
      </c>
      <c r="BA1789">
        <v>1</v>
      </c>
      <c r="BB1789" t="str">
        <f t="shared" si="89"/>
        <v xml:space="preserve">N162AM  </v>
      </c>
      <c r="BC1789">
        <v>1</v>
      </c>
      <c r="BE1789">
        <v>0</v>
      </c>
      <c r="BF1789">
        <v>0</v>
      </c>
      <c r="BG1789">
        <v>0</v>
      </c>
      <c r="BH1789">
        <v>1850</v>
      </c>
      <c r="BI1789">
        <v>1</v>
      </c>
      <c r="BJ1789">
        <v>1</v>
      </c>
      <c r="BK1789">
        <v>1</v>
      </c>
      <c r="BL1789">
        <v>0</v>
      </c>
      <c r="BO1789">
        <v>0</v>
      </c>
      <c r="BP1789">
        <v>0</v>
      </c>
      <c r="BW1789" t="str">
        <f>"14:52:18.012"</f>
        <v>14:52:18.012</v>
      </c>
      <c r="CJ1789">
        <v>3</v>
      </c>
      <c r="CK1789">
        <v>2</v>
      </c>
      <c r="CL1789">
        <v>0</v>
      </c>
      <c r="CM1789">
        <v>2</v>
      </c>
      <c r="CN1789">
        <v>0</v>
      </c>
      <c r="CO1789">
        <v>7</v>
      </c>
      <c r="CP1789" t="s">
        <v>119</v>
      </c>
      <c r="CQ1789">
        <v>232</v>
      </c>
      <c r="CR1789">
        <v>1</v>
      </c>
      <c r="CW1789">
        <v>15704885</v>
      </c>
      <c r="CY1789">
        <v>1</v>
      </c>
      <c r="CZ1789">
        <v>0</v>
      </c>
      <c r="DA1789">
        <v>1</v>
      </c>
      <c r="DB1789">
        <v>0</v>
      </c>
      <c r="DC1789">
        <v>0</v>
      </c>
      <c r="DD1789">
        <v>1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>"12/16/2021 14:52:19.148"</f>
        <v>12/16/2021 14:52:19.148</v>
      </c>
      <c r="C1790" t="str">
        <f t="shared" si="88"/>
        <v>FFDFD3C0</v>
      </c>
      <c r="D1790" t="s">
        <v>124</v>
      </c>
      <c r="E1790">
        <v>5</v>
      </c>
      <c r="F1790">
        <v>1005</v>
      </c>
      <c r="G1790" t="s">
        <v>114</v>
      </c>
      <c r="J1790" t="s">
        <v>125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>"14:52:18.898"</f>
        <v>14:52:18.898</v>
      </c>
      <c r="T1790" t="str">
        <f>"14:52:18.098"</f>
        <v>14:52:18.098</v>
      </c>
      <c r="U1790" t="str">
        <f t="shared" si="87"/>
        <v>A0F928</v>
      </c>
      <c r="V1790">
        <v>0</v>
      </c>
      <c r="W1790">
        <v>0</v>
      </c>
      <c r="X1790">
        <v>2</v>
      </c>
      <c r="Z1790">
        <v>0</v>
      </c>
      <c r="AA1790">
        <v>9</v>
      </c>
      <c r="AB1790">
        <v>3</v>
      </c>
      <c r="AC1790">
        <v>0</v>
      </c>
      <c r="AD1790">
        <v>10</v>
      </c>
      <c r="AE1790">
        <v>0</v>
      </c>
      <c r="AF1790">
        <v>3</v>
      </c>
      <c r="AG1790">
        <v>2</v>
      </c>
      <c r="AH1790">
        <v>1</v>
      </c>
      <c r="AI1790" t="s">
        <v>954</v>
      </c>
      <c r="AJ1790">
        <v>35.83811</v>
      </c>
      <c r="AK1790" t="s">
        <v>955</v>
      </c>
      <c r="AL1790">
        <v>-84.002752000000001</v>
      </c>
      <c r="AM1790">
        <v>25</v>
      </c>
      <c r="AN1790">
        <v>1600</v>
      </c>
      <c r="AO1790" t="s">
        <v>118</v>
      </c>
      <c r="AP1790">
        <v>91</v>
      </c>
      <c r="AQ1790">
        <v>87</v>
      </c>
      <c r="AR1790">
        <v>-320</v>
      </c>
      <c r="AZ1790">
        <v>300</v>
      </c>
      <c r="BA1790">
        <v>1</v>
      </c>
      <c r="BB1790" t="str">
        <f t="shared" si="89"/>
        <v xml:space="preserve">N162AM  </v>
      </c>
      <c r="BC1790">
        <v>1</v>
      </c>
      <c r="BE1790">
        <v>0</v>
      </c>
      <c r="BF1790">
        <v>0</v>
      </c>
      <c r="BG1790">
        <v>0</v>
      </c>
      <c r="BH1790">
        <v>1850</v>
      </c>
      <c r="BI1790">
        <v>1</v>
      </c>
      <c r="BJ1790">
        <v>1</v>
      </c>
      <c r="BK1790">
        <v>1</v>
      </c>
      <c r="BL1790">
        <v>0</v>
      </c>
      <c r="BO1790">
        <v>0</v>
      </c>
      <c r="BP1790">
        <v>0</v>
      </c>
      <c r="BW1790" t="str">
        <f>"14:52:18.900"</f>
        <v>14:52:18.900</v>
      </c>
      <c r="CJ1790">
        <v>3</v>
      </c>
      <c r="CK1790">
        <v>2</v>
      </c>
      <c r="CL1790">
        <v>0</v>
      </c>
      <c r="CM1790">
        <v>2</v>
      </c>
      <c r="CN1790">
        <v>0</v>
      </c>
      <c r="CO1790">
        <v>2</v>
      </c>
      <c r="CP1790" t="s">
        <v>119</v>
      </c>
      <c r="CQ1790">
        <v>216</v>
      </c>
      <c r="CR1790">
        <v>0</v>
      </c>
      <c r="CW1790">
        <v>1082163</v>
      </c>
      <c r="CY1790">
        <v>1</v>
      </c>
      <c r="CZ1790">
        <v>0</v>
      </c>
      <c r="DA1790">
        <v>0</v>
      </c>
      <c r="DB1790">
        <v>0</v>
      </c>
      <c r="DC1790">
        <v>0</v>
      </c>
      <c r="DD1790">
        <v>1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>"12/16/2021 14:52:19.148"</f>
        <v>12/16/2021 14:52:19.148</v>
      </c>
      <c r="C1791" t="str">
        <f t="shared" si="88"/>
        <v>FFDFD3C0</v>
      </c>
      <c r="D1791" t="s">
        <v>124</v>
      </c>
      <c r="E1791">
        <v>10</v>
      </c>
      <c r="F1791">
        <v>1010</v>
      </c>
      <c r="G1791" t="s">
        <v>130</v>
      </c>
      <c r="J1791" t="s">
        <v>125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>"14:52:18.898"</f>
        <v>14:52:18.898</v>
      </c>
      <c r="T1791" t="str">
        <f>"14:52:18.098"</f>
        <v>14:52:18.098</v>
      </c>
      <c r="U1791" t="str">
        <f t="shared" si="87"/>
        <v>A0F928</v>
      </c>
      <c r="V1791">
        <v>0</v>
      </c>
      <c r="W1791">
        <v>0</v>
      </c>
      <c r="X1791">
        <v>2</v>
      </c>
      <c r="Z1791">
        <v>0</v>
      </c>
      <c r="AA1791">
        <v>9</v>
      </c>
      <c r="AB1791">
        <v>3</v>
      </c>
      <c r="AC1791">
        <v>0</v>
      </c>
      <c r="AD1791">
        <v>10</v>
      </c>
      <c r="AE1791">
        <v>0</v>
      </c>
      <c r="AF1791">
        <v>3</v>
      </c>
      <c r="AG1791">
        <v>2</v>
      </c>
      <c r="AH1791">
        <v>1</v>
      </c>
      <c r="AI1791" t="s">
        <v>954</v>
      </c>
      <c r="AJ1791">
        <v>35.83811</v>
      </c>
      <c r="AK1791" t="s">
        <v>955</v>
      </c>
      <c r="AL1791">
        <v>-84.002752000000001</v>
      </c>
      <c r="AM1791">
        <v>25</v>
      </c>
      <c r="AN1791">
        <v>1600</v>
      </c>
      <c r="AO1791" t="s">
        <v>118</v>
      </c>
      <c r="AP1791">
        <v>91</v>
      </c>
      <c r="AQ1791">
        <v>87</v>
      </c>
      <c r="AR1791">
        <v>-320</v>
      </c>
      <c r="AZ1791">
        <v>300</v>
      </c>
      <c r="BA1791">
        <v>1</v>
      </c>
      <c r="BB1791" t="str">
        <f t="shared" si="89"/>
        <v xml:space="preserve">N162AM  </v>
      </c>
      <c r="BC1791">
        <v>1</v>
      </c>
      <c r="BE1791">
        <v>0</v>
      </c>
      <c r="BF1791">
        <v>0</v>
      </c>
      <c r="BG1791">
        <v>0</v>
      </c>
      <c r="BH1791">
        <v>1850</v>
      </c>
      <c r="BI1791">
        <v>1</v>
      </c>
      <c r="BJ1791">
        <v>1</v>
      </c>
      <c r="BK1791">
        <v>1</v>
      </c>
      <c r="BL1791">
        <v>0</v>
      </c>
      <c r="BO1791">
        <v>0</v>
      </c>
      <c r="BP1791">
        <v>0</v>
      </c>
      <c r="BW1791" t="str">
        <f>"14:52:18.900"</f>
        <v>14:52:18.900</v>
      </c>
      <c r="CJ1791">
        <v>3</v>
      </c>
      <c r="CK1791">
        <v>2</v>
      </c>
      <c r="CL1791">
        <v>0</v>
      </c>
      <c r="CM1791">
        <v>2</v>
      </c>
      <c r="CN1791">
        <v>0</v>
      </c>
      <c r="CO1791">
        <v>2</v>
      </c>
      <c r="CP1791" t="s">
        <v>119</v>
      </c>
      <c r="CQ1791">
        <v>216</v>
      </c>
      <c r="CR1791">
        <v>0</v>
      </c>
      <c r="CW1791">
        <v>1082163</v>
      </c>
      <c r="CY1791">
        <v>1</v>
      </c>
      <c r="CZ1791">
        <v>0</v>
      </c>
      <c r="DA1791">
        <v>1</v>
      </c>
      <c r="DB1791">
        <v>0</v>
      </c>
      <c r="DC1791">
        <v>0</v>
      </c>
      <c r="DD1791">
        <v>1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>"12/16/2021 14:52:19.148"</f>
        <v>12/16/2021 14:52:19.148</v>
      </c>
      <c r="C1792" t="str">
        <f t="shared" si="88"/>
        <v>FFDFD3C0</v>
      </c>
      <c r="D1792" t="s">
        <v>133</v>
      </c>
      <c r="E1792">
        <v>44</v>
      </c>
      <c r="H1792">
        <v>131</v>
      </c>
      <c r="I1792" t="s">
        <v>134</v>
      </c>
      <c r="J1792" t="s">
        <v>135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>"14:52:18.898"</f>
        <v>14:52:18.898</v>
      </c>
      <c r="T1792" t="str">
        <f>"14:52:18.098"</f>
        <v>14:52:18.098</v>
      </c>
      <c r="U1792" t="str">
        <f t="shared" si="87"/>
        <v>A0F928</v>
      </c>
      <c r="V1792">
        <v>0</v>
      </c>
      <c r="W1792">
        <v>0</v>
      </c>
      <c r="X1792">
        <v>2</v>
      </c>
      <c r="Z1792">
        <v>0</v>
      </c>
      <c r="AA1792">
        <v>9</v>
      </c>
      <c r="AB1792">
        <v>3</v>
      </c>
      <c r="AC1792">
        <v>0</v>
      </c>
      <c r="AD1792">
        <v>10</v>
      </c>
      <c r="AE1792">
        <v>0</v>
      </c>
      <c r="AF1792">
        <v>3</v>
      </c>
      <c r="AG1792">
        <v>2</v>
      </c>
      <c r="AH1792">
        <v>1</v>
      </c>
      <c r="AI1792" t="s">
        <v>954</v>
      </c>
      <c r="AJ1792">
        <v>35.83811</v>
      </c>
      <c r="AK1792" t="s">
        <v>955</v>
      </c>
      <c r="AL1792">
        <v>-84.002752000000001</v>
      </c>
      <c r="AM1792">
        <v>25</v>
      </c>
      <c r="AN1792">
        <v>1600</v>
      </c>
      <c r="AO1792" t="s">
        <v>118</v>
      </c>
      <c r="AP1792">
        <v>91</v>
      </c>
      <c r="AQ1792">
        <v>87</v>
      </c>
      <c r="AR1792">
        <v>-320</v>
      </c>
      <c r="AZ1792">
        <v>300</v>
      </c>
      <c r="BA1792">
        <v>1</v>
      </c>
      <c r="BB1792" t="str">
        <f t="shared" si="89"/>
        <v xml:space="preserve">N162AM  </v>
      </c>
      <c r="BC1792">
        <v>1</v>
      </c>
      <c r="BE1792">
        <v>0</v>
      </c>
      <c r="BF1792">
        <v>0</v>
      </c>
      <c r="BG1792">
        <v>0</v>
      </c>
      <c r="BH1792">
        <v>1850</v>
      </c>
      <c r="BI1792">
        <v>1</v>
      </c>
      <c r="BJ1792">
        <v>1</v>
      </c>
      <c r="BK1792">
        <v>1</v>
      </c>
      <c r="BL1792">
        <v>0</v>
      </c>
      <c r="BO1792">
        <v>0</v>
      </c>
      <c r="BP1792">
        <v>0</v>
      </c>
      <c r="BW1792" t="str">
        <f>"14:52:18.900"</f>
        <v>14:52:18.900</v>
      </c>
      <c r="CJ1792">
        <v>3</v>
      </c>
      <c r="CK1792">
        <v>2</v>
      </c>
      <c r="CL1792">
        <v>0</v>
      </c>
      <c r="CM1792">
        <v>2</v>
      </c>
      <c r="CN1792">
        <v>0</v>
      </c>
      <c r="CO1792">
        <v>2</v>
      </c>
      <c r="CP1792" t="s">
        <v>119</v>
      </c>
      <c r="CQ1792">
        <v>216</v>
      </c>
      <c r="CR1792">
        <v>0</v>
      </c>
      <c r="CW1792">
        <v>1082163</v>
      </c>
      <c r="CY1792">
        <v>1</v>
      </c>
      <c r="CZ1792">
        <v>0</v>
      </c>
      <c r="DA1792">
        <v>1</v>
      </c>
      <c r="DB1792">
        <v>0</v>
      </c>
      <c r="DC1792">
        <v>0</v>
      </c>
      <c r="DD1792">
        <v>1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>"12/16/2021 14:52:19.148"</f>
        <v>12/16/2021 14:52:19.148</v>
      </c>
      <c r="C1793" t="str">
        <f t="shared" si="88"/>
        <v>FFDFD3C0</v>
      </c>
      <c r="D1793" t="s">
        <v>113</v>
      </c>
      <c r="E1793">
        <v>8</v>
      </c>
      <c r="H1793">
        <v>176</v>
      </c>
      <c r="I1793" t="s">
        <v>114</v>
      </c>
      <c r="J1793" t="s">
        <v>115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>"14:52:18.898"</f>
        <v>14:52:18.898</v>
      </c>
      <c r="T1793" t="str">
        <f>"14:52:18.098"</f>
        <v>14:52:18.098</v>
      </c>
      <c r="U1793" t="str">
        <f t="shared" si="87"/>
        <v>A0F928</v>
      </c>
      <c r="V1793">
        <v>0</v>
      </c>
      <c r="W1793">
        <v>0</v>
      </c>
      <c r="X1793">
        <v>2</v>
      </c>
      <c r="Z1793">
        <v>0</v>
      </c>
      <c r="AA1793">
        <v>9</v>
      </c>
      <c r="AB1793">
        <v>3</v>
      </c>
      <c r="AC1793">
        <v>0</v>
      </c>
      <c r="AD1793">
        <v>10</v>
      </c>
      <c r="AE1793">
        <v>0</v>
      </c>
      <c r="AF1793">
        <v>3</v>
      </c>
      <c r="AG1793">
        <v>2</v>
      </c>
      <c r="AH1793">
        <v>1</v>
      </c>
      <c r="AI1793" t="s">
        <v>954</v>
      </c>
      <c r="AJ1793">
        <v>35.83811</v>
      </c>
      <c r="AK1793" t="s">
        <v>955</v>
      </c>
      <c r="AL1793">
        <v>-84.002752000000001</v>
      </c>
      <c r="AM1793">
        <v>25</v>
      </c>
      <c r="AN1793">
        <v>1600</v>
      </c>
      <c r="AO1793" t="s">
        <v>118</v>
      </c>
      <c r="AP1793">
        <v>91</v>
      </c>
      <c r="AQ1793">
        <v>87</v>
      </c>
      <c r="AR1793">
        <v>-320</v>
      </c>
      <c r="AZ1793">
        <v>300</v>
      </c>
      <c r="BA1793">
        <v>1</v>
      </c>
      <c r="BB1793" t="str">
        <f t="shared" si="89"/>
        <v xml:space="preserve">N162AM  </v>
      </c>
      <c r="BC1793">
        <v>1</v>
      </c>
      <c r="BE1793">
        <v>0</v>
      </c>
      <c r="BF1793">
        <v>0</v>
      </c>
      <c r="BG1793">
        <v>0</v>
      </c>
      <c r="BH1793">
        <v>1850</v>
      </c>
      <c r="BI1793">
        <v>1</v>
      </c>
      <c r="BJ1793">
        <v>1</v>
      </c>
      <c r="BK1793">
        <v>1</v>
      </c>
      <c r="BL1793">
        <v>0</v>
      </c>
      <c r="BO1793">
        <v>0</v>
      </c>
      <c r="BP1793">
        <v>0</v>
      </c>
      <c r="BW1793" t="str">
        <f>"14:52:18.900"</f>
        <v>14:52:18.900</v>
      </c>
      <c r="CJ1793">
        <v>3</v>
      </c>
      <c r="CK1793">
        <v>2</v>
      </c>
      <c r="CL1793">
        <v>0</v>
      </c>
      <c r="CM1793">
        <v>2</v>
      </c>
      <c r="CN1793">
        <v>0</v>
      </c>
      <c r="CO1793">
        <v>2</v>
      </c>
      <c r="CP1793" t="s">
        <v>119</v>
      </c>
      <c r="CQ1793">
        <v>216</v>
      </c>
      <c r="CR1793">
        <v>0</v>
      </c>
      <c r="CW1793">
        <v>1082163</v>
      </c>
      <c r="CY1793">
        <v>1</v>
      </c>
      <c r="CZ1793">
        <v>0</v>
      </c>
      <c r="DA1793">
        <v>1</v>
      </c>
      <c r="DB1793">
        <v>0</v>
      </c>
      <c r="DC1793">
        <v>0</v>
      </c>
      <c r="DD1793">
        <v>1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>"12/16/2021 14:52:20.226"</f>
        <v>12/16/2021 14:52:20.226</v>
      </c>
      <c r="C1794" t="str">
        <f t="shared" si="88"/>
        <v>FFDFD3C0</v>
      </c>
      <c r="D1794" t="s">
        <v>124</v>
      </c>
      <c r="E1794">
        <v>5</v>
      </c>
      <c r="F1794">
        <v>1005</v>
      </c>
      <c r="G1794" t="s">
        <v>114</v>
      </c>
      <c r="J1794" t="s">
        <v>125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>"14:52:19.984"</f>
        <v>14:52:19.984</v>
      </c>
      <c r="T1794" t="str">
        <f>"14:52:18.984"</f>
        <v>14:52:18.984</v>
      </c>
      <c r="U1794" t="str">
        <f t="shared" ref="U1794:U1857" si="90">"A0F928"</f>
        <v>A0F928</v>
      </c>
      <c r="V1794">
        <v>0</v>
      </c>
      <c r="W1794">
        <v>0</v>
      </c>
      <c r="X1794">
        <v>2</v>
      </c>
      <c r="Z1794">
        <v>0</v>
      </c>
      <c r="AA1794">
        <v>9</v>
      </c>
      <c r="AB1794">
        <v>3</v>
      </c>
      <c r="AC1794">
        <v>0</v>
      </c>
      <c r="AD1794">
        <v>10</v>
      </c>
      <c r="AE1794">
        <v>0</v>
      </c>
      <c r="AF1794">
        <v>3</v>
      </c>
      <c r="AG1794">
        <v>2</v>
      </c>
      <c r="AH1794">
        <v>1</v>
      </c>
      <c r="AI1794" t="s">
        <v>956</v>
      </c>
      <c r="AJ1794">
        <v>35.838540000000002</v>
      </c>
      <c r="AK1794" t="s">
        <v>957</v>
      </c>
      <c r="AL1794">
        <v>-84.002150999999998</v>
      </c>
      <c r="AM1794">
        <v>25</v>
      </c>
      <c r="AN1794">
        <v>1600</v>
      </c>
      <c r="AO1794" t="s">
        <v>118</v>
      </c>
      <c r="AP1794">
        <v>91</v>
      </c>
      <c r="AQ1794">
        <v>87</v>
      </c>
      <c r="AR1794">
        <v>-256</v>
      </c>
      <c r="AZ1794">
        <v>300</v>
      </c>
      <c r="BA1794">
        <v>1</v>
      </c>
      <c r="BB1794" t="str">
        <f t="shared" si="89"/>
        <v xml:space="preserve">N162AM  </v>
      </c>
      <c r="BC1794">
        <v>1</v>
      </c>
      <c r="BE1794">
        <v>0</v>
      </c>
      <c r="BF1794">
        <v>0</v>
      </c>
      <c r="BG1794">
        <v>0</v>
      </c>
      <c r="BH1794">
        <v>1850</v>
      </c>
      <c r="BI1794">
        <v>1</v>
      </c>
      <c r="BJ1794">
        <v>1</v>
      </c>
      <c r="BK1794">
        <v>1</v>
      </c>
      <c r="BL1794">
        <v>0</v>
      </c>
      <c r="BO1794">
        <v>0</v>
      </c>
      <c r="BP1794">
        <v>0</v>
      </c>
      <c r="BW1794" t="str">
        <f>"14:52:19.985"</f>
        <v>14:52:19.985</v>
      </c>
      <c r="CJ1794">
        <v>3</v>
      </c>
      <c r="CK1794">
        <v>2</v>
      </c>
      <c r="CL1794">
        <v>0</v>
      </c>
      <c r="CM1794">
        <v>2</v>
      </c>
      <c r="CN1794">
        <v>0</v>
      </c>
      <c r="CO1794">
        <v>2</v>
      </c>
      <c r="CP1794" t="s">
        <v>119</v>
      </c>
      <c r="CQ1794">
        <v>216</v>
      </c>
      <c r="CR1794">
        <v>0</v>
      </c>
      <c r="CW1794">
        <v>1083540</v>
      </c>
      <c r="CY1794">
        <v>1</v>
      </c>
      <c r="CZ1794">
        <v>0</v>
      </c>
      <c r="DA1794">
        <v>0</v>
      </c>
      <c r="DB1794">
        <v>0</v>
      </c>
      <c r="DC1794">
        <v>0</v>
      </c>
      <c r="DD1794">
        <v>1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>"12/16/2021 14:52:20.226"</f>
        <v>12/16/2021 14:52:20.226</v>
      </c>
      <c r="C1795" t="str">
        <f t="shared" si="88"/>
        <v>FFDFD3C0</v>
      </c>
      <c r="D1795" t="s">
        <v>113</v>
      </c>
      <c r="E1795">
        <v>8</v>
      </c>
      <c r="H1795">
        <v>176</v>
      </c>
      <c r="I1795" t="s">
        <v>114</v>
      </c>
      <c r="J1795" t="s">
        <v>115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>"14:52:19.984"</f>
        <v>14:52:19.984</v>
      </c>
      <c r="T1795" t="str">
        <f>"14:52:18.984"</f>
        <v>14:52:18.984</v>
      </c>
      <c r="U1795" t="str">
        <f t="shared" si="90"/>
        <v>A0F928</v>
      </c>
      <c r="V1795">
        <v>0</v>
      </c>
      <c r="W1795">
        <v>0</v>
      </c>
      <c r="X1795">
        <v>2</v>
      </c>
      <c r="Z1795">
        <v>0</v>
      </c>
      <c r="AA1795">
        <v>9</v>
      </c>
      <c r="AB1795">
        <v>3</v>
      </c>
      <c r="AC1795">
        <v>0</v>
      </c>
      <c r="AD1795">
        <v>10</v>
      </c>
      <c r="AE1795">
        <v>0</v>
      </c>
      <c r="AF1795">
        <v>3</v>
      </c>
      <c r="AG1795">
        <v>2</v>
      </c>
      <c r="AH1795">
        <v>1</v>
      </c>
      <c r="AI1795" t="s">
        <v>956</v>
      </c>
      <c r="AJ1795">
        <v>35.838540000000002</v>
      </c>
      <c r="AK1795" t="s">
        <v>957</v>
      </c>
      <c r="AL1795">
        <v>-84.002150999999998</v>
      </c>
      <c r="AM1795">
        <v>25</v>
      </c>
      <c r="AN1795">
        <v>1600</v>
      </c>
      <c r="AO1795" t="s">
        <v>118</v>
      </c>
      <c r="AP1795">
        <v>91</v>
      </c>
      <c r="AQ1795">
        <v>87</v>
      </c>
      <c r="AR1795">
        <v>-256</v>
      </c>
      <c r="AZ1795">
        <v>300</v>
      </c>
      <c r="BA1795">
        <v>1</v>
      </c>
      <c r="BB1795" t="str">
        <f t="shared" si="89"/>
        <v xml:space="preserve">N162AM  </v>
      </c>
      <c r="BC1795">
        <v>1</v>
      </c>
      <c r="BE1795">
        <v>0</v>
      </c>
      <c r="BF1795">
        <v>0</v>
      </c>
      <c r="BG1795">
        <v>0</v>
      </c>
      <c r="BH1795">
        <v>1850</v>
      </c>
      <c r="BI1795">
        <v>1</v>
      </c>
      <c r="BJ1795">
        <v>1</v>
      </c>
      <c r="BK1795">
        <v>1</v>
      </c>
      <c r="BL1795">
        <v>0</v>
      </c>
      <c r="BO1795">
        <v>0</v>
      </c>
      <c r="BP1795">
        <v>0</v>
      </c>
      <c r="BW1795" t="str">
        <f>"14:52:19.985"</f>
        <v>14:52:19.985</v>
      </c>
      <c r="CJ1795">
        <v>3</v>
      </c>
      <c r="CK1795">
        <v>2</v>
      </c>
      <c r="CL1795">
        <v>0</v>
      </c>
      <c r="CM1795">
        <v>2</v>
      </c>
      <c r="CN1795">
        <v>0</v>
      </c>
      <c r="CO1795">
        <v>2</v>
      </c>
      <c r="CP1795" t="s">
        <v>119</v>
      </c>
      <c r="CQ1795">
        <v>216</v>
      </c>
      <c r="CR1795">
        <v>0</v>
      </c>
      <c r="CW1795">
        <v>1083540</v>
      </c>
      <c r="CY1795">
        <v>1</v>
      </c>
      <c r="CZ1795">
        <v>0</v>
      </c>
      <c r="DA1795">
        <v>1</v>
      </c>
      <c r="DB1795">
        <v>0</v>
      </c>
      <c r="DC1795">
        <v>0</v>
      </c>
      <c r="DD1795">
        <v>1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>"12/16/2021 14:52:20.226"</f>
        <v>12/16/2021 14:52:20.226</v>
      </c>
      <c r="C1796" t="str">
        <f t="shared" si="88"/>
        <v>FFDFD3C0</v>
      </c>
      <c r="D1796" t="s">
        <v>124</v>
      </c>
      <c r="E1796">
        <v>10</v>
      </c>
      <c r="F1796">
        <v>1010</v>
      </c>
      <c r="G1796" t="s">
        <v>130</v>
      </c>
      <c r="J1796" t="s">
        <v>125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>"14:52:19.984"</f>
        <v>14:52:19.984</v>
      </c>
      <c r="T1796" t="str">
        <f>"14:52:18.984"</f>
        <v>14:52:18.984</v>
      </c>
      <c r="U1796" t="str">
        <f t="shared" si="90"/>
        <v>A0F928</v>
      </c>
      <c r="V1796">
        <v>0</v>
      </c>
      <c r="W1796">
        <v>0</v>
      </c>
      <c r="X1796">
        <v>2</v>
      </c>
      <c r="Z1796">
        <v>0</v>
      </c>
      <c r="AA1796">
        <v>9</v>
      </c>
      <c r="AB1796">
        <v>3</v>
      </c>
      <c r="AC1796">
        <v>0</v>
      </c>
      <c r="AD1796">
        <v>10</v>
      </c>
      <c r="AE1796">
        <v>0</v>
      </c>
      <c r="AF1796">
        <v>3</v>
      </c>
      <c r="AG1796">
        <v>2</v>
      </c>
      <c r="AH1796">
        <v>1</v>
      </c>
      <c r="AI1796" t="s">
        <v>956</v>
      </c>
      <c r="AJ1796">
        <v>35.838540000000002</v>
      </c>
      <c r="AK1796" t="s">
        <v>957</v>
      </c>
      <c r="AL1796">
        <v>-84.002150999999998</v>
      </c>
      <c r="AM1796">
        <v>25</v>
      </c>
      <c r="AN1796">
        <v>1600</v>
      </c>
      <c r="AO1796" t="s">
        <v>118</v>
      </c>
      <c r="AP1796">
        <v>91</v>
      </c>
      <c r="AQ1796">
        <v>87</v>
      </c>
      <c r="AR1796">
        <v>-256</v>
      </c>
      <c r="AZ1796">
        <v>300</v>
      </c>
      <c r="BA1796">
        <v>1</v>
      </c>
      <c r="BB1796" t="str">
        <f t="shared" si="89"/>
        <v xml:space="preserve">N162AM  </v>
      </c>
      <c r="BC1796">
        <v>1</v>
      </c>
      <c r="BE1796">
        <v>0</v>
      </c>
      <c r="BF1796">
        <v>0</v>
      </c>
      <c r="BG1796">
        <v>0</v>
      </c>
      <c r="BH1796">
        <v>1850</v>
      </c>
      <c r="BI1796">
        <v>1</v>
      </c>
      <c r="BJ1796">
        <v>1</v>
      </c>
      <c r="BK1796">
        <v>1</v>
      </c>
      <c r="BL1796">
        <v>0</v>
      </c>
      <c r="BO1796">
        <v>0</v>
      </c>
      <c r="BP1796">
        <v>0</v>
      </c>
      <c r="BW1796" t="str">
        <f>"14:52:19.985"</f>
        <v>14:52:19.985</v>
      </c>
      <c r="CJ1796">
        <v>3</v>
      </c>
      <c r="CK1796">
        <v>2</v>
      </c>
      <c r="CL1796">
        <v>0</v>
      </c>
      <c r="CM1796">
        <v>2</v>
      </c>
      <c r="CN1796">
        <v>0</v>
      </c>
      <c r="CO1796">
        <v>2</v>
      </c>
      <c r="CP1796" t="s">
        <v>119</v>
      </c>
      <c r="CQ1796">
        <v>216</v>
      </c>
      <c r="CR1796">
        <v>0</v>
      </c>
      <c r="CW1796">
        <v>1083540</v>
      </c>
      <c r="CY1796">
        <v>1</v>
      </c>
      <c r="CZ1796">
        <v>0</v>
      </c>
      <c r="DA1796">
        <v>1</v>
      </c>
      <c r="DB1796">
        <v>0</v>
      </c>
      <c r="DC1796">
        <v>0</v>
      </c>
      <c r="DD1796">
        <v>1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>"12/16/2021 14:52:20.226"</f>
        <v>12/16/2021 14:52:20.226</v>
      </c>
      <c r="C1797" t="str">
        <f t="shared" si="88"/>
        <v>FFDFD3C0</v>
      </c>
      <c r="D1797" t="s">
        <v>133</v>
      </c>
      <c r="E1797">
        <v>44</v>
      </c>
      <c r="H1797">
        <v>131</v>
      </c>
      <c r="I1797" t="s">
        <v>134</v>
      </c>
      <c r="J1797" t="s">
        <v>135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>"14:52:19.984"</f>
        <v>14:52:19.984</v>
      </c>
      <c r="T1797" t="str">
        <f>"14:52:18.984"</f>
        <v>14:52:18.984</v>
      </c>
      <c r="U1797" t="str">
        <f t="shared" si="90"/>
        <v>A0F928</v>
      </c>
      <c r="V1797">
        <v>0</v>
      </c>
      <c r="W1797">
        <v>0</v>
      </c>
      <c r="X1797">
        <v>2</v>
      </c>
      <c r="Z1797">
        <v>0</v>
      </c>
      <c r="AA1797">
        <v>9</v>
      </c>
      <c r="AB1797">
        <v>3</v>
      </c>
      <c r="AC1797">
        <v>0</v>
      </c>
      <c r="AD1797">
        <v>10</v>
      </c>
      <c r="AE1797">
        <v>0</v>
      </c>
      <c r="AF1797">
        <v>3</v>
      </c>
      <c r="AG1797">
        <v>2</v>
      </c>
      <c r="AH1797">
        <v>1</v>
      </c>
      <c r="AI1797" t="s">
        <v>956</v>
      </c>
      <c r="AJ1797">
        <v>35.838540000000002</v>
      </c>
      <c r="AK1797" t="s">
        <v>957</v>
      </c>
      <c r="AL1797">
        <v>-84.002150999999998</v>
      </c>
      <c r="AM1797">
        <v>25</v>
      </c>
      <c r="AN1797">
        <v>1600</v>
      </c>
      <c r="AO1797" t="s">
        <v>118</v>
      </c>
      <c r="AP1797">
        <v>91</v>
      </c>
      <c r="AQ1797">
        <v>87</v>
      </c>
      <c r="AR1797">
        <v>-256</v>
      </c>
      <c r="AZ1797">
        <v>300</v>
      </c>
      <c r="BA1797">
        <v>1</v>
      </c>
      <c r="BB1797" t="str">
        <f t="shared" si="89"/>
        <v xml:space="preserve">N162AM  </v>
      </c>
      <c r="BC1797">
        <v>1</v>
      </c>
      <c r="BE1797">
        <v>0</v>
      </c>
      <c r="BF1797">
        <v>0</v>
      </c>
      <c r="BG1797">
        <v>0</v>
      </c>
      <c r="BH1797">
        <v>1850</v>
      </c>
      <c r="BI1797">
        <v>1</v>
      </c>
      <c r="BJ1797">
        <v>1</v>
      </c>
      <c r="BK1797">
        <v>1</v>
      </c>
      <c r="BL1797">
        <v>0</v>
      </c>
      <c r="BO1797">
        <v>0</v>
      </c>
      <c r="BP1797">
        <v>0</v>
      </c>
      <c r="BW1797" t="str">
        <f>"14:52:19.985"</f>
        <v>14:52:19.985</v>
      </c>
      <c r="CJ1797">
        <v>3</v>
      </c>
      <c r="CK1797">
        <v>2</v>
      </c>
      <c r="CL1797">
        <v>0</v>
      </c>
      <c r="CM1797">
        <v>2</v>
      </c>
      <c r="CN1797">
        <v>0</v>
      </c>
      <c r="CO1797">
        <v>2</v>
      </c>
      <c r="CP1797" t="s">
        <v>119</v>
      </c>
      <c r="CQ1797">
        <v>216</v>
      </c>
      <c r="CR1797">
        <v>0</v>
      </c>
      <c r="CW1797">
        <v>1083540</v>
      </c>
      <c r="CY1797">
        <v>1</v>
      </c>
      <c r="CZ1797">
        <v>0</v>
      </c>
      <c r="DA1797">
        <v>1</v>
      </c>
      <c r="DB1797">
        <v>0</v>
      </c>
      <c r="DC1797">
        <v>0</v>
      </c>
      <c r="DD1797">
        <v>1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>"12/16/2021 14:52:21.570"</f>
        <v>12/16/2021 14:52:21.570</v>
      </c>
      <c r="C1798" t="str">
        <f t="shared" si="88"/>
        <v>FFDFD3C0</v>
      </c>
      <c r="D1798" t="s">
        <v>133</v>
      </c>
      <c r="E1798">
        <v>44</v>
      </c>
      <c r="H1798">
        <v>131</v>
      </c>
      <c r="I1798" t="s">
        <v>134</v>
      </c>
      <c r="J1798" t="s">
        <v>135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>"14:52:21.391"</f>
        <v>14:52:21.391</v>
      </c>
      <c r="T1798" t="str">
        <f>"14:52:19.991"</f>
        <v>14:52:19.991</v>
      </c>
      <c r="U1798" t="str">
        <f t="shared" si="90"/>
        <v>A0F928</v>
      </c>
      <c r="V1798">
        <v>0</v>
      </c>
      <c r="W1798">
        <v>0</v>
      </c>
      <c r="X1798">
        <v>2</v>
      </c>
      <c r="Z1798">
        <v>0</v>
      </c>
      <c r="AA1798">
        <v>9</v>
      </c>
      <c r="AB1798">
        <v>3</v>
      </c>
      <c r="AC1798">
        <v>0</v>
      </c>
      <c r="AD1798">
        <v>10</v>
      </c>
      <c r="AE1798">
        <v>0</v>
      </c>
      <c r="AF1798">
        <v>3</v>
      </c>
      <c r="AG1798">
        <v>2</v>
      </c>
      <c r="AH1798">
        <v>1</v>
      </c>
      <c r="AI1798" t="s">
        <v>958</v>
      </c>
      <c r="AJ1798">
        <v>35.839097000000002</v>
      </c>
      <c r="AK1798" t="s">
        <v>959</v>
      </c>
      <c r="AL1798">
        <v>-84.001400000000004</v>
      </c>
      <c r="AM1798">
        <v>25</v>
      </c>
      <c r="AN1798">
        <v>1600</v>
      </c>
      <c r="AO1798" t="s">
        <v>118</v>
      </c>
      <c r="AP1798">
        <v>91</v>
      </c>
      <c r="AQ1798">
        <v>86</v>
      </c>
      <c r="AR1798">
        <v>-128</v>
      </c>
      <c r="AZ1798">
        <v>300</v>
      </c>
      <c r="BA1798">
        <v>1</v>
      </c>
      <c r="BB1798" t="str">
        <f t="shared" si="89"/>
        <v xml:space="preserve">N162AM  </v>
      </c>
      <c r="BC1798">
        <v>1</v>
      </c>
      <c r="BE1798">
        <v>0</v>
      </c>
      <c r="BF1798">
        <v>0</v>
      </c>
      <c r="BG1798">
        <v>0</v>
      </c>
      <c r="BH1798">
        <v>1850</v>
      </c>
      <c r="BI1798">
        <v>1</v>
      </c>
      <c r="BJ1798">
        <v>1</v>
      </c>
      <c r="BK1798">
        <v>1</v>
      </c>
      <c r="BL1798">
        <v>0</v>
      </c>
      <c r="BO1798">
        <v>0</v>
      </c>
      <c r="BP1798">
        <v>0</v>
      </c>
      <c r="BW1798" t="str">
        <f>"14:52:21.394"</f>
        <v>14:52:21.394</v>
      </c>
      <c r="CJ1798">
        <v>3</v>
      </c>
      <c r="CK1798">
        <v>2</v>
      </c>
      <c r="CL1798">
        <v>0</v>
      </c>
      <c r="CM1798">
        <v>2</v>
      </c>
      <c r="CN1798">
        <v>0</v>
      </c>
      <c r="CO1798">
        <v>2</v>
      </c>
      <c r="CP1798" t="s">
        <v>119</v>
      </c>
      <c r="CQ1798">
        <v>216</v>
      </c>
      <c r="CR1798">
        <v>0</v>
      </c>
      <c r="CW1798">
        <v>1085486</v>
      </c>
      <c r="CY1798">
        <v>1</v>
      </c>
      <c r="CZ1798">
        <v>0</v>
      </c>
      <c r="DA1798">
        <v>0</v>
      </c>
      <c r="DB1798">
        <v>0</v>
      </c>
      <c r="DC1798">
        <v>0</v>
      </c>
      <c r="DD1798">
        <v>1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>"12/16/2021 14:52:21.570"</f>
        <v>12/16/2021 14:52:21.570</v>
      </c>
      <c r="C1799" t="str">
        <f t="shared" si="88"/>
        <v>FFDFD3C0</v>
      </c>
      <c r="D1799" t="s">
        <v>124</v>
      </c>
      <c r="E1799">
        <v>5</v>
      </c>
      <c r="F1799">
        <v>1005</v>
      </c>
      <c r="G1799" t="s">
        <v>114</v>
      </c>
      <c r="J1799" t="s">
        <v>125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>"14:52:21.391"</f>
        <v>14:52:21.391</v>
      </c>
      <c r="T1799" t="str">
        <f>"14:52:19.991"</f>
        <v>14:52:19.991</v>
      </c>
      <c r="U1799" t="str">
        <f t="shared" si="90"/>
        <v>A0F928</v>
      </c>
      <c r="V1799">
        <v>0</v>
      </c>
      <c r="W1799">
        <v>0</v>
      </c>
      <c r="X1799">
        <v>2</v>
      </c>
      <c r="Z1799">
        <v>0</v>
      </c>
      <c r="AA1799">
        <v>9</v>
      </c>
      <c r="AB1799">
        <v>3</v>
      </c>
      <c r="AC1799">
        <v>0</v>
      </c>
      <c r="AD1799">
        <v>10</v>
      </c>
      <c r="AE1799">
        <v>0</v>
      </c>
      <c r="AF1799">
        <v>3</v>
      </c>
      <c r="AG1799">
        <v>2</v>
      </c>
      <c r="AH1799">
        <v>1</v>
      </c>
      <c r="AI1799" t="s">
        <v>958</v>
      </c>
      <c r="AJ1799">
        <v>35.839097000000002</v>
      </c>
      <c r="AK1799" t="s">
        <v>959</v>
      </c>
      <c r="AL1799">
        <v>-84.001400000000004</v>
      </c>
      <c r="AM1799">
        <v>25</v>
      </c>
      <c r="AN1799">
        <v>1600</v>
      </c>
      <c r="AO1799" t="s">
        <v>118</v>
      </c>
      <c r="AP1799">
        <v>91</v>
      </c>
      <c r="AQ1799">
        <v>86</v>
      </c>
      <c r="AR1799">
        <v>-128</v>
      </c>
      <c r="AZ1799">
        <v>300</v>
      </c>
      <c r="BA1799">
        <v>1</v>
      </c>
      <c r="BB1799" t="str">
        <f t="shared" si="89"/>
        <v xml:space="preserve">N162AM  </v>
      </c>
      <c r="BC1799">
        <v>1</v>
      </c>
      <c r="BE1799">
        <v>0</v>
      </c>
      <c r="BF1799">
        <v>0</v>
      </c>
      <c r="BG1799">
        <v>0</v>
      </c>
      <c r="BH1799">
        <v>1850</v>
      </c>
      <c r="BI1799">
        <v>1</v>
      </c>
      <c r="BJ1799">
        <v>1</v>
      </c>
      <c r="BK1799">
        <v>1</v>
      </c>
      <c r="BL1799">
        <v>0</v>
      </c>
      <c r="BO1799">
        <v>0</v>
      </c>
      <c r="BP1799">
        <v>0</v>
      </c>
      <c r="BW1799" t="str">
        <f>"14:52:21.394"</f>
        <v>14:52:21.394</v>
      </c>
      <c r="CJ1799">
        <v>3</v>
      </c>
      <c r="CK1799">
        <v>2</v>
      </c>
      <c r="CL1799">
        <v>0</v>
      </c>
      <c r="CM1799">
        <v>2</v>
      </c>
      <c r="CN1799">
        <v>0</v>
      </c>
      <c r="CO1799">
        <v>2</v>
      </c>
      <c r="CP1799" t="s">
        <v>119</v>
      </c>
      <c r="CQ1799">
        <v>216</v>
      </c>
      <c r="CR1799">
        <v>0</v>
      </c>
      <c r="CW1799">
        <v>1085486</v>
      </c>
      <c r="CY1799">
        <v>1</v>
      </c>
      <c r="CZ1799">
        <v>0</v>
      </c>
      <c r="DA1799">
        <v>1</v>
      </c>
      <c r="DB1799">
        <v>0</v>
      </c>
      <c r="DC1799">
        <v>0</v>
      </c>
      <c r="DD1799">
        <v>1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>"12/16/2021 14:52:21.585"</f>
        <v>12/16/2021 14:52:21.585</v>
      </c>
      <c r="C1800" t="str">
        <f t="shared" si="88"/>
        <v>FFDFD3C0</v>
      </c>
      <c r="D1800" t="s">
        <v>113</v>
      </c>
      <c r="E1800">
        <v>8</v>
      </c>
      <c r="H1800">
        <v>176</v>
      </c>
      <c r="I1800" t="s">
        <v>114</v>
      </c>
      <c r="J1800" t="s">
        <v>115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>"14:52:21.391"</f>
        <v>14:52:21.391</v>
      </c>
      <c r="T1800" t="str">
        <f>"14:52:19.991"</f>
        <v>14:52:19.991</v>
      </c>
      <c r="U1800" t="str">
        <f t="shared" si="90"/>
        <v>A0F928</v>
      </c>
      <c r="V1800">
        <v>0</v>
      </c>
      <c r="W1800">
        <v>0</v>
      </c>
      <c r="X1800">
        <v>2</v>
      </c>
      <c r="Z1800">
        <v>0</v>
      </c>
      <c r="AA1800">
        <v>9</v>
      </c>
      <c r="AB1800">
        <v>3</v>
      </c>
      <c r="AC1800">
        <v>0</v>
      </c>
      <c r="AD1800">
        <v>10</v>
      </c>
      <c r="AE1800">
        <v>0</v>
      </c>
      <c r="AF1800">
        <v>3</v>
      </c>
      <c r="AG1800">
        <v>2</v>
      </c>
      <c r="AH1800">
        <v>1</v>
      </c>
      <c r="AI1800" t="s">
        <v>958</v>
      </c>
      <c r="AJ1800">
        <v>35.839097000000002</v>
      </c>
      <c r="AK1800" t="s">
        <v>959</v>
      </c>
      <c r="AL1800">
        <v>-84.001400000000004</v>
      </c>
      <c r="AM1800">
        <v>25</v>
      </c>
      <c r="AN1800">
        <v>1600</v>
      </c>
      <c r="AO1800" t="s">
        <v>118</v>
      </c>
      <c r="AP1800">
        <v>91</v>
      </c>
      <c r="AQ1800">
        <v>86</v>
      </c>
      <c r="AR1800">
        <v>-128</v>
      </c>
      <c r="AZ1800">
        <v>300</v>
      </c>
      <c r="BA1800">
        <v>1</v>
      </c>
      <c r="BB1800" t="str">
        <f t="shared" si="89"/>
        <v xml:space="preserve">N162AM  </v>
      </c>
      <c r="BC1800">
        <v>1</v>
      </c>
      <c r="BE1800">
        <v>0</v>
      </c>
      <c r="BF1800">
        <v>0</v>
      </c>
      <c r="BG1800">
        <v>0</v>
      </c>
      <c r="BH1800">
        <v>1850</v>
      </c>
      <c r="BI1800">
        <v>1</v>
      </c>
      <c r="BJ1800">
        <v>1</v>
      </c>
      <c r="BK1800">
        <v>1</v>
      </c>
      <c r="BL1800">
        <v>0</v>
      </c>
      <c r="BO1800">
        <v>0</v>
      </c>
      <c r="BP1800">
        <v>0</v>
      </c>
      <c r="BW1800" t="str">
        <f>"14:52:21.394"</f>
        <v>14:52:21.394</v>
      </c>
      <c r="CJ1800">
        <v>3</v>
      </c>
      <c r="CK1800">
        <v>2</v>
      </c>
      <c r="CL1800">
        <v>0</v>
      </c>
      <c r="CM1800">
        <v>2</v>
      </c>
      <c r="CN1800">
        <v>0</v>
      </c>
      <c r="CO1800">
        <v>2</v>
      </c>
      <c r="CP1800" t="s">
        <v>119</v>
      </c>
      <c r="CQ1800">
        <v>216</v>
      </c>
      <c r="CR1800">
        <v>0</v>
      </c>
      <c r="CW1800">
        <v>1085486</v>
      </c>
      <c r="CY1800">
        <v>1</v>
      </c>
      <c r="CZ1800">
        <v>0</v>
      </c>
      <c r="DA1800">
        <v>1</v>
      </c>
      <c r="DB1800">
        <v>0</v>
      </c>
      <c r="DC1800">
        <v>0</v>
      </c>
      <c r="DD1800">
        <v>1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>"12/16/2021 14:52:21.632"</f>
        <v>12/16/2021 14:52:21.632</v>
      </c>
      <c r="C1801" t="str">
        <f t="shared" si="88"/>
        <v>FFDFD3C0</v>
      </c>
      <c r="D1801" t="s">
        <v>124</v>
      </c>
      <c r="E1801">
        <v>10</v>
      </c>
      <c r="F1801">
        <v>1010</v>
      </c>
      <c r="G1801" t="s">
        <v>130</v>
      </c>
      <c r="J1801" t="s">
        <v>125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>"14:52:21.391"</f>
        <v>14:52:21.391</v>
      </c>
      <c r="T1801" t="str">
        <f>"14:52:19.991"</f>
        <v>14:52:19.991</v>
      </c>
      <c r="U1801" t="str">
        <f t="shared" si="90"/>
        <v>A0F928</v>
      </c>
      <c r="V1801">
        <v>0</v>
      </c>
      <c r="W1801">
        <v>0</v>
      </c>
      <c r="X1801">
        <v>2</v>
      </c>
      <c r="Z1801">
        <v>0</v>
      </c>
      <c r="AA1801">
        <v>9</v>
      </c>
      <c r="AB1801">
        <v>3</v>
      </c>
      <c r="AC1801">
        <v>0</v>
      </c>
      <c r="AD1801">
        <v>10</v>
      </c>
      <c r="AE1801">
        <v>0</v>
      </c>
      <c r="AF1801">
        <v>3</v>
      </c>
      <c r="AG1801">
        <v>2</v>
      </c>
      <c r="AH1801">
        <v>1</v>
      </c>
      <c r="AI1801" t="s">
        <v>958</v>
      </c>
      <c r="AJ1801">
        <v>35.839097000000002</v>
      </c>
      <c r="AK1801" t="s">
        <v>959</v>
      </c>
      <c r="AL1801">
        <v>-84.001400000000004</v>
      </c>
      <c r="AM1801">
        <v>25</v>
      </c>
      <c r="AN1801">
        <v>1600</v>
      </c>
      <c r="AO1801" t="s">
        <v>118</v>
      </c>
      <c r="AP1801">
        <v>91</v>
      </c>
      <c r="AQ1801">
        <v>86</v>
      </c>
      <c r="AR1801">
        <v>-128</v>
      </c>
      <c r="AZ1801">
        <v>300</v>
      </c>
      <c r="BA1801">
        <v>1</v>
      </c>
      <c r="BB1801" t="str">
        <f t="shared" si="89"/>
        <v xml:space="preserve">N162AM  </v>
      </c>
      <c r="BC1801">
        <v>1</v>
      </c>
      <c r="BE1801">
        <v>0</v>
      </c>
      <c r="BF1801">
        <v>0</v>
      </c>
      <c r="BG1801">
        <v>0</v>
      </c>
      <c r="BH1801">
        <v>1850</v>
      </c>
      <c r="BI1801">
        <v>1</v>
      </c>
      <c r="BJ1801">
        <v>1</v>
      </c>
      <c r="BK1801">
        <v>1</v>
      </c>
      <c r="BL1801">
        <v>0</v>
      </c>
      <c r="BO1801">
        <v>0</v>
      </c>
      <c r="BP1801">
        <v>0</v>
      </c>
      <c r="BW1801" t="str">
        <f>"14:52:21.394"</f>
        <v>14:52:21.394</v>
      </c>
      <c r="CJ1801">
        <v>3</v>
      </c>
      <c r="CK1801">
        <v>2</v>
      </c>
      <c r="CL1801">
        <v>0</v>
      </c>
      <c r="CM1801">
        <v>2</v>
      </c>
      <c r="CN1801">
        <v>0</v>
      </c>
      <c r="CO1801">
        <v>2</v>
      </c>
      <c r="CP1801" t="s">
        <v>119</v>
      </c>
      <c r="CQ1801">
        <v>216</v>
      </c>
      <c r="CR1801">
        <v>0</v>
      </c>
      <c r="CW1801">
        <v>1085486</v>
      </c>
      <c r="CY1801">
        <v>1</v>
      </c>
      <c r="CZ1801">
        <v>0</v>
      </c>
      <c r="DA1801">
        <v>1</v>
      </c>
      <c r="DB1801">
        <v>0</v>
      </c>
      <c r="DC1801">
        <v>0</v>
      </c>
      <c r="DD1801">
        <v>1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>"12/16/2021 14:52:22.554"</f>
        <v>12/16/2021 14:52:22.554</v>
      </c>
      <c r="C1802" t="str">
        <f t="shared" si="88"/>
        <v>FFDFD3C0</v>
      </c>
      <c r="D1802" t="s">
        <v>133</v>
      </c>
      <c r="E1802">
        <v>44</v>
      </c>
      <c r="H1802">
        <v>131</v>
      </c>
      <c r="I1802" t="s">
        <v>134</v>
      </c>
      <c r="J1802" t="s">
        <v>135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>"14:52:22.336"</f>
        <v>14:52:22.336</v>
      </c>
      <c r="T1802" t="str">
        <f>"14:52:21.936"</f>
        <v>14:52:21.936</v>
      </c>
      <c r="U1802" t="str">
        <f t="shared" si="90"/>
        <v>A0F928</v>
      </c>
      <c r="V1802">
        <v>0</v>
      </c>
      <c r="W1802">
        <v>0</v>
      </c>
      <c r="X1802">
        <v>2</v>
      </c>
      <c r="Z1802">
        <v>0</v>
      </c>
      <c r="AA1802">
        <v>9</v>
      </c>
      <c r="AB1802">
        <v>3</v>
      </c>
      <c r="AC1802">
        <v>0</v>
      </c>
      <c r="AD1802">
        <v>10</v>
      </c>
      <c r="AE1802">
        <v>0</v>
      </c>
      <c r="AF1802">
        <v>3</v>
      </c>
      <c r="AG1802">
        <v>2</v>
      </c>
      <c r="AH1802">
        <v>1</v>
      </c>
      <c r="AI1802" t="s">
        <v>960</v>
      </c>
      <c r="AJ1802">
        <v>35.839441000000001</v>
      </c>
      <c r="AK1802" t="s">
        <v>961</v>
      </c>
      <c r="AL1802">
        <v>-84.000992999999994</v>
      </c>
      <c r="AM1802">
        <v>25</v>
      </c>
      <c r="AN1802">
        <v>1600</v>
      </c>
      <c r="AO1802" t="s">
        <v>118</v>
      </c>
      <c r="AP1802">
        <v>89</v>
      </c>
      <c r="AQ1802">
        <v>87</v>
      </c>
      <c r="AR1802">
        <v>-64</v>
      </c>
      <c r="AZ1802">
        <v>300</v>
      </c>
      <c r="BA1802">
        <v>1</v>
      </c>
      <c r="BB1802" t="str">
        <f t="shared" si="89"/>
        <v xml:space="preserve">N162AM  </v>
      </c>
      <c r="BC1802">
        <v>1</v>
      </c>
      <c r="BE1802">
        <v>0</v>
      </c>
      <c r="BF1802">
        <v>0</v>
      </c>
      <c r="BG1802">
        <v>0</v>
      </c>
      <c r="BH1802">
        <v>1850</v>
      </c>
      <c r="BI1802">
        <v>1</v>
      </c>
      <c r="BJ1802">
        <v>1</v>
      </c>
      <c r="BK1802">
        <v>1</v>
      </c>
      <c r="BL1802">
        <v>0</v>
      </c>
      <c r="BO1802">
        <v>0</v>
      </c>
      <c r="BP1802">
        <v>0</v>
      </c>
      <c r="BW1802" t="str">
        <f>"14:52:22.341"</f>
        <v>14:52:22.341</v>
      </c>
      <c r="CJ1802">
        <v>3</v>
      </c>
      <c r="CK1802">
        <v>2</v>
      </c>
      <c r="CL1802">
        <v>0</v>
      </c>
      <c r="CM1802">
        <v>2</v>
      </c>
      <c r="CN1802">
        <v>0</v>
      </c>
      <c r="CO1802">
        <v>2</v>
      </c>
      <c r="CP1802" t="s">
        <v>119</v>
      </c>
      <c r="CQ1802">
        <v>216</v>
      </c>
      <c r="CR1802">
        <v>0</v>
      </c>
      <c r="CW1802">
        <v>1086868</v>
      </c>
      <c r="CY1802">
        <v>1</v>
      </c>
      <c r="CZ1802">
        <v>0</v>
      </c>
      <c r="DA1802">
        <v>0</v>
      </c>
      <c r="DB1802">
        <v>0</v>
      </c>
      <c r="DC1802">
        <v>0</v>
      </c>
      <c r="DD1802">
        <v>1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>"12/16/2021 14:52:22.554"</f>
        <v>12/16/2021 14:52:22.554</v>
      </c>
      <c r="C1803" t="str">
        <f t="shared" si="88"/>
        <v>FFDFD3C0</v>
      </c>
      <c r="D1803" t="s">
        <v>124</v>
      </c>
      <c r="E1803">
        <v>5</v>
      </c>
      <c r="F1803">
        <v>1005</v>
      </c>
      <c r="G1803" t="s">
        <v>114</v>
      </c>
      <c r="J1803" t="s">
        <v>125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>"14:52:22.336"</f>
        <v>14:52:22.336</v>
      </c>
      <c r="T1803" t="str">
        <f>"14:52:21.936"</f>
        <v>14:52:21.936</v>
      </c>
      <c r="U1803" t="str">
        <f t="shared" si="90"/>
        <v>A0F928</v>
      </c>
      <c r="V1803">
        <v>0</v>
      </c>
      <c r="W1803">
        <v>0</v>
      </c>
      <c r="X1803">
        <v>2</v>
      </c>
      <c r="Z1803">
        <v>0</v>
      </c>
      <c r="AA1803">
        <v>9</v>
      </c>
      <c r="AB1803">
        <v>3</v>
      </c>
      <c r="AC1803">
        <v>0</v>
      </c>
      <c r="AD1803">
        <v>10</v>
      </c>
      <c r="AE1803">
        <v>0</v>
      </c>
      <c r="AF1803">
        <v>3</v>
      </c>
      <c r="AG1803">
        <v>2</v>
      </c>
      <c r="AH1803">
        <v>1</v>
      </c>
      <c r="AI1803" t="s">
        <v>960</v>
      </c>
      <c r="AJ1803">
        <v>35.839441000000001</v>
      </c>
      <c r="AK1803" t="s">
        <v>961</v>
      </c>
      <c r="AL1803">
        <v>-84.000992999999994</v>
      </c>
      <c r="AM1803">
        <v>25</v>
      </c>
      <c r="AN1803">
        <v>1600</v>
      </c>
      <c r="AO1803" t="s">
        <v>118</v>
      </c>
      <c r="AP1803">
        <v>89</v>
      </c>
      <c r="AQ1803">
        <v>87</v>
      </c>
      <c r="AR1803">
        <v>-64</v>
      </c>
      <c r="AZ1803">
        <v>300</v>
      </c>
      <c r="BA1803">
        <v>1</v>
      </c>
      <c r="BB1803" t="str">
        <f t="shared" si="89"/>
        <v xml:space="preserve">N162AM  </v>
      </c>
      <c r="BC1803">
        <v>1</v>
      </c>
      <c r="BE1803">
        <v>0</v>
      </c>
      <c r="BF1803">
        <v>0</v>
      </c>
      <c r="BG1803">
        <v>0</v>
      </c>
      <c r="BH1803">
        <v>1850</v>
      </c>
      <c r="BI1803">
        <v>1</v>
      </c>
      <c r="BJ1803">
        <v>1</v>
      </c>
      <c r="BK1803">
        <v>1</v>
      </c>
      <c r="BL1803">
        <v>0</v>
      </c>
      <c r="BO1803">
        <v>0</v>
      </c>
      <c r="BP1803">
        <v>0</v>
      </c>
      <c r="BW1803" t="str">
        <f>"14:52:22.341"</f>
        <v>14:52:22.341</v>
      </c>
      <c r="CJ1803">
        <v>3</v>
      </c>
      <c r="CK1803">
        <v>2</v>
      </c>
      <c r="CL1803">
        <v>0</v>
      </c>
      <c r="CM1803">
        <v>2</v>
      </c>
      <c r="CN1803">
        <v>0</v>
      </c>
      <c r="CO1803">
        <v>2</v>
      </c>
      <c r="CP1803" t="s">
        <v>119</v>
      </c>
      <c r="CQ1803">
        <v>216</v>
      </c>
      <c r="CR1803">
        <v>0</v>
      </c>
      <c r="CW1803">
        <v>1086868</v>
      </c>
      <c r="CY1803">
        <v>1</v>
      </c>
      <c r="CZ1803">
        <v>0</v>
      </c>
      <c r="DA1803">
        <v>1</v>
      </c>
      <c r="DB1803">
        <v>0</v>
      </c>
      <c r="DC1803">
        <v>0</v>
      </c>
      <c r="DD1803">
        <v>1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>"12/16/2021 14:52:22.554"</f>
        <v>12/16/2021 14:52:22.554</v>
      </c>
      <c r="C1804" t="str">
        <f t="shared" si="88"/>
        <v>FFDFD3C0</v>
      </c>
      <c r="D1804" t="s">
        <v>113</v>
      </c>
      <c r="E1804">
        <v>8</v>
      </c>
      <c r="H1804">
        <v>176</v>
      </c>
      <c r="I1804" t="s">
        <v>114</v>
      </c>
      <c r="J1804" t="s">
        <v>115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>"14:52:22.336"</f>
        <v>14:52:22.336</v>
      </c>
      <c r="T1804" t="str">
        <f>"14:52:21.936"</f>
        <v>14:52:21.936</v>
      </c>
      <c r="U1804" t="str">
        <f t="shared" si="90"/>
        <v>A0F928</v>
      </c>
      <c r="V1804">
        <v>0</v>
      </c>
      <c r="W1804">
        <v>0</v>
      </c>
      <c r="X1804">
        <v>2</v>
      </c>
      <c r="Z1804">
        <v>0</v>
      </c>
      <c r="AA1804">
        <v>9</v>
      </c>
      <c r="AB1804">
        <v>3</v>
      </c>
      <c r="AC1804">
        <v>0</v>
      </c>
      <c r="AD1804">
        <v>10</v>
      </c>
      <c r="AE1804">
        <v>0</v>
      </c>
      <c r="AF1804">
        <v>3</v>
      </c>
      <c r="AG1804">
        <v>2</v>
      </c>
      <c r="AH1804">
        <v>1</v>
      </c>
      <c r="AI1804" t="s">
        <v>960</v>
      </c>
      <c r="AJ1804">
        <v>35.839441000000001</v>
      </c>
      <c r="AK1804" t="s">
        <v>961</v>
      </c>
      <c r="AL1804">
        <v>-84.000992999999994</v>
      </c>
      <c r="AM1804">
        <v>25</v>
      </c>
      <c r="AN1804">
        <v>1600</v>
      </c>
      <c r="AO1804" t="s">
        <v>118</v>
      </c>
      <c r="AP1804">
        <v>89</v>
      </c>
      <c r="AQ1804">
        <v>87</v>
      </c>
      <c r="AR1804">
        <v>-64</v>
      </c>
      <c r="AZ1804">
        <v>300</v>
      </c>
      <c r="BA1804">
        <v>1</v>
      </c>
      <c r="BB1804" t="str">
        <f t="shared" si="89"/>
        <v xml:space="preserve">N162AM  </v>
      </c>
      <c r="BC1804">
        <v>1</v>
      </c>
      <c r="BE1804">
        <v>0</v>
      </c>
      <c r="BF1804">
        <v>0</v>
      </c>
      <c r="BG1804">
        <v>0</v>
      </c>
      <c r="BH1804">
        <v>1850</v>
      </c>
      <c r="BI1804">
        <v>1</v>
      </c>
      <c r="BJ1804">
        <v>1</v>
      </c>
      <c r="BK1804">
        <v>1</v>
      </c>
      <c r="BL1804">
        <v>0</v>
      </c>
      <c r="BO1804">
        <v>0</v>
      </c>
      <c r="BP1804">
        <v>0</v>
      </c>
      <c r="BW1804" t="str">
        <f>"14:52:22.341"</f>
        <v>14:52:22.341</v>
      </c>
      <c r="CJ1804">
        <v>3</v>
      </c>
      <c r="CK1804">
        <v>2</v>
      </c>
      <c r="CL1804">
        <v>0</v>
      </c>
      <c r="CM1804">
        <v>2</v>
      </c>
      <c r="CN1804">
        <v>0</v>
      </c>
      <c r="CO1804">
        <v>2</v>
      </c>
      <c r="CP1804" t="s">
        <v>119</v>
      </c>
      <c r="CQ1804">
        <v>216</v>
      </c>
      <c r="CR1804">
        <v>0</v>
      </c>
      <c r="CW1804">
        <v>1086868</v>
      </c>
      <c r="CY1804">
        <v>1</v>
      </c>
      <c r="CZ1804">
        <v>0</v>
      </c>
      <c r="DA1804">
        <v>1</v>
      </c>
      <c r="DB1804">
        <v>0</v>
      </c>
      <c r="DC1804">
        <v>0</v>
      </c>
      <c r="DD1804">
        <v>1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>"12/16/2021 14:52:22.554"</f>
        <v>12/16/2021 14:52:22.554</v>
      </c>
      <c r="C1805" t="str">
        <f t="shared" si="88"/>
        <v>FFDFD3C0</v>
      </c>
      <c r="D1805" t="s">
        <v>124</v>
      </c>
      <c r="E1805">
        <v>10</v>
      </c>
      <c r="F1805">
        <v>1010</v>
      </c>
      <c r="G1805" t="s">
        <v>130</v>
      </c>
      <c r="J1805" t="s">
        <v>125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>"14:52:22.336"</f>
        <v>14:52:22.336</v>
      </c>
      <c r="T1805" t="str">
        <f>"14:52:21.936"</f>
        <v>14:52:21.936</v>
      </c>
      <c r="U1805" t="str">
        <f t="shared" si="90"/>
        <v>A0F928</v>
      </c>
      <c r="V1805">
        <v>0</v>
      </c>
      <c r="W1805">
        <v>0</v>
      </c>
      <c r="X1805">
        <v>2</v>
      </c>
      <c r="Z1805">
        <v>0</v>
      </c>
      <c r="AA1805">
        <v>9</v>
      </c>
      <c r="AB1805">
        <v>3</v>
      </c>
      <c r="AC1805">
        <v>0</v>
      </c>
      <c r="AD1805">
        <v>10</v>
      </c>
      <c r="AE1805">
        <v>0</v>
      </c>
      <c r="AF1805">
        <v>3</v>
      </c>
      <c r="AG1805">
        <v>2</v>
      </c>
      <c r="AH1805">
        <v>1</v>
      </c>
      <c r="AI1805" t="s">
        <v>960</v>
      </c>
      <c r="AJ1805">
        <v>35.839441000000001</v>
      </c>
      <c r="AK1805" t="s">
        <v>961</v>
      </c>
      <c r="AL1805">
        <v>-84.000992999999994</v>
      </c>
      <c r="AM1805">
        <v>25</v>
      </c>
      <c r="AN1805">
        <v>1600</v>
      </c>
      <c r="AO1805" t="s">
        <v>118</v>
      </c>
      <c r="AP1805">
        <v>89</v>
      </c>
      <c r="AQ1805">
        <v>87</v>
      </c>
      <c r="AR1805">
        <v>-64</v>
      </c>
      <c r="AZ1805">
        <v>300</v>
      </c>
      <c r="BA1805">
        <v>1</v>
      </c>
      <c r="BB1805" t="str">
        <f t="shared" si="89"/>
        <v xml:space="preserve">N162AM  </v>
      </c>
      <c r="BC1805">
        <v>1</v>
      </c>
      <c r="BE1805">
        <v>0</v>
      </c>
      <c r="BF1805">
        <v>0</v>
      </c>
      <c r="BG1805">
        <v>0</v>
      </c>
      <c r="BH1805">
        <v>1850</v>
      </c>
      <c r="BI1805">
        <v>1</v>
      </c>
      <c r="BJ1805">
        <v>1</v>
      </c>
      <c r="BK1805">
        <v>1</v>
      </c>
      <c r="BL1805">
        <v>0</v>
      </c>
      <c r="BO1805">
        <v>0</v>
      </c>
      <c r="BP1805">
        <v>0</v>
      </c>
      <c r="BW1805" t="str">
        <f>"14:52:22.341"</f>
        <v>14:52:22.341</v>
      </c>
      <c r="CJ1805">
        <v>3</v>
      </c>
      <c r="CK1805">
        <v>2</v>
      </c>
      <c r="CL1805">
        <v>0</v>
      </c>
      <c r="CM1805">
        <v>2</v>
      </c>
      <c r="CN1805">
        <v>0</v>
      </c>
      <c r="CO1805">
        <v>2</v>
      </c>
      <c r="CP1805" t="s">
        <v>119</v>
      </c>
      <c r="CQ1805">
        <v>216</v>
      </c>
      <c r="CR1805">
        <v>0</v>
      </c>
      <c r="CW1805">
        <v>1086868</v>
      </c>
      <c r="CY1805">
        <v>1</v>
      </c>
      <c r="CZ1805">
        <v>0</v>
      </c>
      <c r="DA1805">
        <v>1</v>
      </c>
      <c r="DB1805">
        <v>0</v>
      </c>
      <c r="DC1805">
        <v>0</v>
      </c>
      <c r="DD1805">
        <v>1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>"12/16/2021 14:52:24.257"</f>
        <v>12/16/2021 14:52:24.257</v>
      </c>
      <c r="C1806" t="str">
        <f t="shared" si="88"/>
        <v>FFDFD3C0</v>
      </c>
      <c r="D1806" t="s">
        <v>133</v>
      </c>
      <c r="E1806">
        <v>44</v>
      </c>
      <c r="H1806">
        <v>131</v>
      </c>
      <c r="I1806" t="s">
        <v>134</v>
      </c>
      <c r="J1806" t="s">
        <v>135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>"14:52:24.008"</f>
        <v>14:52:24.008</v>
      </c>
      <c r="T1806" t="str">
        <f>"14:52:23.508"</f>
        <v>14:52:23.508</v>
      </c>
      <c r="U1806" t="str">
        <f t="shared" si="90"/>
        <v>A0F928</v>
      </c>
      <c r="V1806">
        <v>0</v>
      </c>
      <c r="W1806">
        <v>0</v>
      </c>
      <c r="X1806">
        <v>2</v>
      </c>
      <c r="Z1806">
        <v>0</v>
      </c>
      <c r="AA1806">
        <v>9</v>
      </c>
      <c r="AB1806">
        <v>3</v>
      </c>
      <c r="AC1806">
        <v>0</v>
      </c>
      <c r="AD1806">
        <v>10</v>
      </c>
      <c r="AE1806">
        <v>0</v>
      </c>
      <c r="AF1806">
        <v>3</v>
      </c>
      <c r="AG1806">
        <v>2</v>
      </c>
      <c r="AH1806">
        <v>1</v>
      </c>
      <c r="AI1806" t="s">
        <v>962</v>
      </c>
      <c r="AJ1806">
        <v>35.840148999999997</v>
      </c>
      <c r="AK1806" t="s">
        <v>963</v>
      </c>
      <c r="AL1806">
        <v>-84.000091999999995</v>
      </c>
      <c r="AM1806">
        <v>25</v>
      </c>
      <c r="AN1806">
        <v>1600</v>
      </c>
      <c r="AO1806" t="s">
        <v>118</v>
      </c>
      <c r="AP1806">
        <v>89</v>
      </c>
      <c r="AQ1806">
        <v>87</v>
      </c>
      <c r="AR1806">
        <v>-128</v>
      </c>
      <c r="AZ1806">
        <v>300</v>
      </c>
      <c r="BA1806">
        <v>1</v>
      </c>
      <c r="BB1806" t="str">
        <f t="shared" si="89"/>
        <v xml:space="preserve">N162AM  </v>
      </c>
      <c r="BC1806">
        <v>1</v>
      </c>
      <c r="BE1806">
        <v>0</v>
      </c>
      <c r="BF1806">
        <v>0</v>
      </c>
      <c r="BG1806">
        <v>0</v>
      </c>
      <c r="BH1806">
        <v>1850</v>
      </c>
      <c r="BI1806">
        <v>1</v>
      </c>
      <c r="BJ1806">
        <v>1</v>
      </c>
      <c r="BK1806">
        <v>1</v>
      </c>
      <c r="BL1806">
        <v>0</v>
      </c>
      <c r="BO1806">
        <v>0</v>
      </c>
      <c r="BP1806">
        <v>0</v>
      </c>
      <c r="BW1806" t="str">
        <f>"14:52:24.011"</f>
        <v>14:52:24.011</v>
      </c>
      <c r="CJ1806">
        <v>3</v>
      </c>
      <c r="CK1806">
        <v>2</v>
      </c>
      <c r="CL1806">
        <v>0</v>
      </c>
      <c r="CM1806">
        <v>2</v>
      </c>
      <c r="CN1806">
        <v>0</v>
      </c>
      <c r="CO1806">
        <v>6</v>
      </c>
      <c r="CP1806" t="s">
        <v>119</v>
      </c>
      <c r="CQ1806">
        <v>232</v>
      </c>
      <c r="CR1806">
        <v>2</v>
      </c>
      <c r="CW1806">
        <v>6924731</v>
      </c>
      <c r="CY1806">
        <v>1</v>
      </c>
      <c r="CZ1806">
        <v>0</v>
      </c>
      <c r="DA1806">
        <v>0</v>
      </c>
      <c r="DB1806">
        <v>0</v>
      </c>
      <c r="DC1806">
        <v>0</v>
      </c>
      <c r="DD1806">
        <v>1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>"12/16/2021 14:52:24.257"</f>
        <v>12/16/2021 14:52:24.257</v>
      </c>
      <c r="C1807" t="str">
        <f t="shared" si="88"/>
        <v>FFDFD3C0</v>
      </c>
      <c r="D1807" t="s">
        <v>124</v>
      </c>
      <c r="E1807">
        <v>10</v>
      </c>
      <c r="F1807">
        <v>1010</v>
      </c>
      <c r="G1807" t="s">
        <v>130</v>
      </c>
      <c r="J1807" t="s">
        <v>125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>"14:52:24.008"</f>
        <v>14:52:24.008</v>
      </c>
      <c r="T1807" t="str">
        <f>"14:52:23.508"</f>
        <v>14:52:23.508</v>
      </c>
      <c r="U1807" t="str">
        <f t="shared" si="90"/>
        <v>A0F928</v>
      </c>
      <c r="V1807">
        <v>0</v>
      </c>
      <c r="W1807">
        <v>0</v>
      </c>
      <c r="X1807">
        <v>2</v>
      </c>
      <c r="Z1807">
        <v>0</v>
      </c>
      <c r="AA1807">
        <v>9</v>
      </c>
      <c r="AB1807">
        <v>3</v>
      </c>
      <c r="AC1807">
        <v>0</v>
      </c>
      <c r="AD1807">
        <v>10</v>
      </c>
      <c r="AE1807">
        <v>0</v>
      </c>
      <c r="AF1807">
        <v>3</v>
      </c>
      <c r="AG1807">
        <v>2</v>
      </c>
      <c r="AH1807">
        <v>1</v>
      </c>
      <c r="AI1807" t="s">
        <v>962</v>
      </c>
      <c r="AJ1807">
        <v>35.840148999999997</v>
      </c>
      <c r="AK1807" t="s">
        <v>963</v>
      </c>
      <c r="AL1807">
        <v>-84.000091999999995</v>
      </c>
      <c r="AM1807">
        <v>25</v>
      </c>
      <c r="AN1807">
        <v>1600</v>
      </c>
      <c r="AO1807" t="s">
        <v>118</v>
      </c>
      <c r="AP1807">
        <v>89</v>
      </c>
      <c r="AQ1807">
        <v>87</v>
      </c>
      <c r="AR1807">
        <v>-128</v>
      </c>
      <c r="AZ1807">
        <v>300</v>
      </c>
      <c r="BA1807">
        <v>1</v>
      </c>
      <c r="BB1807" t="str">
        <f t="shared" si="89"/>
        <v xml:space="preserve">N162AM  </v>
      </c>
      <c r="BC1807">
        <v>1</v>
      </c>
      <c r="BE1807">
        <v>0</v>
      </c>
      <c r="BF1807">
        <v>0</v>
      </c>
      <c r="BG1807">
        <v>0</v>
      </c>
      <c r="BH1807">
        <v>1850</v>
      </c>
      <c r="BI1807">
        <v>1</v>
      </c>
      <c r="BJ1807">
        <v>1</v>
      </c>
      <c r="BK1807">
        <v>1</v>
      </c>
      <c r="BL1807">
        <v>0</v>
      </c>
      <c r="BO1807">
        <v>0</v>
      </c>
      <c r="BP1807">
        <v>0</v>
      </c>
      <c r="BW1807" t="str">
        <f>"14:52:24.011"</f>
        <v>14:52:24.011</v>
      </c>
      <c r="CJ1807">
        <v>3</v>
      </c>
      <c r="CK1807">
        <v>2</v>
      </c>
      <c r="CL1807">
        <v>0</v>
      </c>
      <c r="CM1807">
        <v>2</v>
      </c>
      <c r="CN1807">
        <v>0</v>
      </c>
      <c r="CO1807">
        <v>6</v>
      </c>
      <c r="CP1807" t="s">
        <v>119</v>
      </c>
      <c r="CQ1807">
        <v>232</v>
      </c>
      <c r="CR1807">
        <v>2</v>
      </c>
      <c r="CW1807">
        <v>6924731</v>
      </c>
      <c r="CY1807">
        <v>1</v>
      </c>
      <c r="CZ1807">
        <v>0</v>
      </c>
      <c r="DA1807">
        <v>1</v>
      </c>
      <c r="DB1807">
        <v>0</v>
      </c>
      <c r="DC1807">
        <v>0</v>
      </c>
      <c r="DD1807">
        <v>1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>"12/16/2021 14:52:24.257"</f>
        <v>12/16/2021 14:52:24.257</v>
      </c>
      <c r="C1808" t="str">
        <f t="shared" si="88"/>
        <v>FFDFD3C0</v>
      </c>
      <c r="D1808" t="s">
        <v>124</v>
      </c>
      <c r="E1808">
        <v>5</v>
      </c>
      <c r="F1808">
        <v>1005</v>
      </c>
      <c r="G1808" t="s">
        <v>114</v>
      </c>
      <c r="J1808" t="s">
        <v>125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>"14:52:24.008"</f>
        <v>14:52:24.008</v>
      </c>
      <c r="T1808" t="str">
        <f>"14:52:23.508"</f>
        <v>14:52:23.508</v>
      </c>
      <c r="U1808" t="str">
        <f t="shared" si="90"/>
        <v>A0F928</v>
      </c>
      <c r="V1808">
        <v>0</v>
      </c>
      <c r="W1808">
        <v>0</v>
      </c>
      <c r="X1808">
        <v>2</v>
      </c>
      <c r="Z1808">
        <v>0</v>
      </c>
      <c r="AA1808">
        <v>9</v>
      </c>
      <c r="AB1808">
        <v>3</v>
      </c>
      <c r="AC1808">
        <v>0</v>
      </c>
      <c r="AD1808">
        <v>10</v>
      </c>
      <c r="AE1808">
        <v>0</v>
      </c>
      <c r="AF1808">
        <v>3</v>
      </c>
      <c r="AG1808">
        <v>2</v>
      </c>
      <c r="AH1808">
        <v>1</v>
      </c>
      <c r="AI1808" t="s">
        <v>962</v>
      </c>
      <c r="AJ1808">
        <v>35.840148999999997</v>
      </c>
      <c r="AK1808" t="s">
        <v>963</v>
      </c>
      <c r="AL1808">
        <v>-84.000091999999995</v>
      </c>
      <c r="AM1808">
        <v>25</v>
      </c>
      <c r="AN1808">
        <v>1600</v>
      </c>
      <c r="AO1808" t="s">
        <v>118</v>
      </c>
      <c r="AP1808">
        <v>89</v>
      </c>
      <c r="AQ1808">
        <v>87</v>
      </c>
      <c r="AR1808">
        <v>-128</v>
      </c>
      <c r="AZ1808">
        <v>300</v>
      </c>
      <c r="BA1808">
        <v>1</v>
      </c>
      <c r="BB1808" t="str">
        <f t="shared" si="89"/>
        <v xml:space="preserve">N162AM  </v>
      </c>
      <c r="BC1808">
        <v>1</v>
      </c>
      <c r="BE1808">
        <v>0</v>
      </c>
      <c r="BF1808">
        <v>0</v>
      </c>
      <c r="BG1808">
        <v>0</v>
      </c>
      <c r="BH1808">
        <v>1850</v>
      </c>
      <c r="BI1808">
        <v>1</v>
      </c>
      <c r="BJ1808">
        <v>1</v>
      </c>
      <c r="BK1808">
        <v>1</v>
      </c>
      <c r="BL1808">
        <v>0</v>
      </c>
      <c r="BO1808">
        <v>0</v>
      </c>
      <c r="BP1808">
        <v>0</v>
      </c>
      <c r="BW1808" t="str">
        <f>"14:52:24.011"</f>
        <v>14:52:24.011</v>
      </c>
      <c r="CJ1808">
        <v>3</v>
      </c>
      <c r="CK1808">
        <v>2</v>
      </c>
      <c r="CL1808">
        <v>0</v>
      </c>
      <c r="CM1808">
        <v>2</v>
      </c>
      <c r="CN1808">
        <v>0</v>
      </c>
      <c r="CO1808">
        <v>6</v>
      </c>
      <c r="CP1808" t="s">
        <v>119</v>
      </c>
      <c r="CQ1808">
        <v>232</v>
      </c>
      <c r="CR1808">
        <v>2</v>
      </c>
      <c r="CW1808">
        <v>6924731</v>
      </c>
      <c r="CY1808">
        <v>1</v>
      </c>
      <c r="CZ1808">
        <v>0</v>
      </c>
      <c r="DA1808">
        <v>1</v>
      </c>
      <c r="DB1808">
        <v>0</v>
      </c>
      <c r="DC1808">
        <v>0</v>
      </c>
      <c r="DD1808">
        <v>1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>"12/16/2021 14:52:24.273"</f>
        <v>12/16/2021 14:52:24.273</v>
      </c>
      <c r="C1809" t="str">
        <f t="shared" si="88"/>
        <v>FFDFD3C0</v>
      </c>
      <c r="D1809" t="s">
        <v>113</v>
      </c>
      <c r="E1809">
        <v>8</v>
      </c>
      <c r="H1809">
        <v>176</v>
      </c>
      <c r="I1809" t="s">
        <v>114</v>
      </c>
      <c r="J1809" t="s">
        <v>115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>"14:52:24.008"</f>
        <v>14:52:24.008</v>
      </c>
      <c r="T1809" t="str">
        <f>"14:52:23.508"</f>
        <v>14:52:23.508</v>
      </c>
      <c r="U1809" t="str">
        <f t="shared" si="90"/>
        <v>A0F928</v>
      </c>
      <c r="V1809">
        <v>0</v>
      </c>
      <c r="W1809">
        <v>0</v>
      </c>
      <c r="X1809">
        <v>2</v>
      </c>
      <c r="Z1809">
        <v>0</v>
      </c>
      <c r="AA1809">
        <v>9</v>
      </c>
      <c r="AB1809">
        <v>3</v>
      </c>
      <c r="AC1809">
        <v>0</v>
      </c>
      <c r="AD1809">
        <v>10</v>
      </c>
      <c r="AE1809">
        <v>0</v>
      </c>
      <c r="AF1809">
        <v>3</v>
      </c>
      <c r="AG1809">
        <v>2</v>
      </c>
      <c r="AH1809">
        <v>1</v>
      </c>
      <c r="AI1809" t="s">
        <v>962</v>
      </c>
      <c r="AJ1809">
        <v>35.840148999999997</v>
      </c>
      <c r="AK1809" t="s">
        <v>963</v>
      </c>
      <c r="AL1809">
        <v>-84.000091999999995</v>
      </c>
      <c r="AM1809">
        <v>25</v>
      </c>
      <c r="AN1809">
        <v>1600</v>
      </c>
      <c r="AO1809" t="s">
        <v>118</v>
      </c>
      <c r="AP1809">
        <v>89</v>
      </c>
      <c r="AQ1809">
        <v>87</v>
      </c>
      <c r="AR1809">
        <v>-128</v>
      </c>
      <c r="AZ1809">
        <v>300</v>
      </c>
      <c r="BA1809">
        <v>1</v>
      </c>
      <c r="BB1809" t="str">
        <f t="shared" si="89"/>
        <v xml:space="preserve">N162AM  </v>
      </c>
      <c r="BC1809">
        <v>1</v>
      </c>
      <c r="BE1809">
        <v>0</v>
      </c>
      <c r="BF1809">
        <v>0</v>
      </c>
      <c r="BG1809">
        <v>0</v>
      </c>
      <c r="BH1809">
        <v>1850</v>
      </c>
      <c r="BI1809">
        <v>1</v>
      </c>
      <c r="BJ1809">
        <v>1</v>
      </c>
      <c r="BK1809">
        <v>1</v>
      </c>
      <c r="BL1809">
        <v>0</v>
      </c>
      <c r="BO1809">
        <v>0</v>
      </c>
      <c r="BP1809">
        <v>0</v>
      </c>
      <c r="BW1809" t="str">
        <f>"14:52:24.011"</f>
        <v>14:52:24.011</v>
      </c>
      <c r="CJ1809">
        <v>3</v>
      </c>
      <c r="CK1809">
        <v>2</v>
      </c>
      <c r="CL1809">
        <v>0</v>
      </c>
      <c r="CM1809">
        <v>2</v>
      </c>
      <c r="CN1809">
        <v>0</v>
      </c>
      <c r="CO1809">
        <v>6</v>
      </c>
      <c r="CP1809" t="s">
        <v>119</v>
      </c>
      <c r="CQ1809">
        <v>232</v>
      </c>
      <c r="CR1809">
        <v>2</v>
      </c>
      <c r="CW1809">
        <v>6924731</v>
      </c>
      <c r="CY1809">
        <v>1</v>
      </c>
      <c r="CZ1809">
        <v>0</v>
      </c>
      <c r="DA1809">
        <v>1</v>
      </c>
      <c r="DB1809">
        <v>0</v>
      </c>
      <c r="DC1809">
        <v>0</v>
      </c>
      <c r="DD1809">
        <v>1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>"12/16/2021 14:52:25.469"</f>
        <v>12/16/2021 14:52:25.469</v>
      </c>
      <c r="C1810" t="str">
        <f t="shared" si="88"/>
        <v>FFDFD3C0</v>
      </c>
      <c r="D1810" t="s">
        <v>133</v>
      </c>
      <c r="E1810">
        <v>44</v>
      </c>
      <c r="H1810">
        <v>131</v>
      </c>
      <c r="I1810" t="s">
        <v>134</v>
      </c>
      <c r="J1810" t="s">
        <v>135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>"14:52:25.125"</f>
        <v>14:52:25.125</v>
      </c>
      <c r="T1810" t="str">
        <f>"14:52:24.625"</f>
        <v>14:52:24.625</v>
      </c>
      <c r="U1810" t="str">
        <f t="shared" si="90"/>
        <v>A0F928</v>
      </c>
      <c r="V1810">
        <v>0</v>
      </c>
      <c r="W1810">
        <v>0</v>
      </c>
      <c r="X1810">
        <v>2</v>
      </c>
      <c r="Z1810">
        <v>0</v>
      </c>
      <c r="AA1810">
        <v>9</v>
      </c>
      <c r="AB1810">
        <v>3</v>
      </c>
      <c r="AC1810">
        <v>0</v>
      </c>
      <c r="AD1810">
        <v>10</v>
      </c>
      <c r="AE1810">
        <v>0</v>
      </c>
      <c r="AF1810">
        <v>3</v>
      </c>
      <c r="AG1810">
        <v>2</v>
      </c>
      <c r="AH1810">
        <v>1</v>
      </c>
      <c r="AI1810" t="s">
        <v>964</v>
      </c>
      <c r="AJ1810">
        <v>35.840578000000001</v>
      </c>
      <c r="AK1810" t="s">
        <v>965</v>
      </c>
      <c r="AL1810">
        <v>-83.999598000000006</v>
      </c>
      <c r="AM1810">
        <v>25</v>
      </c>
      <c r="AN1810">
        <v>1575</v>
      </c>
      <c r="AO1810" t="s">
        <v>118</v>
      </c>
      <c r="AP1810">
        <v>88</v>
      </c>
      <c r="AQ1810">
        <v>87</v>
      </c>
      <c r="AR1810">
        <v>-64</v>
      </c>
      <c r="AZ1810">
        <v>300</v>
      </c>
      <c r="BA1810">
        <v>1</v>
      </c>
      <c r="BB1810" t="str">
        <f t="shared" si="89"/>
        <v xml:space="preserve">N162AM  </v>
      </c>
      <c r="BC1810">
        <v>1</v>
      </c>
      <c r="BE1810">
        <v>0</v>
      </c>
      <c r="BF1810">
        <v>0</v>
      </c>
      <c r="BG1810">
        <v>0</v>
      </c>
      <c r="BH1810">
        <v>1850</v>
      </c>
      <c r="BI1810">
        <v>1</v>
      </c>
      <c r="BJ1810">
        <v>1</v>
      </c>
      <c r="BK1810">
        <v>1</v>
      </c>
      <c r="BL1810">
        <v>0</v>
      </c>
      <c r="BO1810">
        <v>0</v>
      </c>
      <c r="BP1810">
        <v>0</v>
      </c>
      <c r="BW1810" t="str">
        <f>"14:52:25.128"</f>
        <v>14:52:25.128</v>
      </c>
      <c r="CJ1810">
        <v>3</v>
      </c>
      <c r="CK1810">
        <v>2</v>
      </c>
      <c r="CL1810">
        <v>0</v>
      </c>
      <c r="CM1810">
        <v>2</v>
      </c>
      <c r="CN1810">
        <v>0</v>
      </c>
      <c r="CO1810">
        <v>7</v>
      </c>
      <c r="CP1810" t="s">
        <v>119</v>
      </c>
      <c r="CQ1810">
        <v>232</v>
      </c>
      <c r="CR1810">
        <v>2</v>
      </c>
      <c r="CW1810">
        <v>6926539</v>
      </c>
      <c r="CY1810">
        <v>1</v>
      </c>
      <c r="CZ1810">
        <v>0</v>
      </c>
      <c r="DA1810">
        <v>0</v>
      </c>
      <c r="DB1810">
        <v>0</v>
      </c>
      <c r="DC1810">
        <v>0</v>
      </c>
      <c r="DD1810">
        <v>1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>"12/16/2021 14:52:25.469"</f>
        <v>12/16/2021 14:52:25.469</v>
      </c>
      <c r="C1811" t="str">
        <f t="shared" si="88"/>
        <v>FFDFD3C0</v>
      </c>
      <c r="D1811" t="s">
        <v>124</v>
      </c>
      <c r="E1811">
        <v>10</v>
      </c>
      <c r="F1811">
        <v>1010</v>
      </c>
      <c r="G1811" t="s">
        <v>130</v>
      </c>
      <c r="J1811" t="s">
        <v>125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>"14:52:25.125"</f>
        <v>14:52:25.125</v>
      </c>
      <c r="T1811" t="str">
        <f>"14:52:24.625"</f>
        <v>14:52:24.625</v>
      </c>
      <c r="U1811" t="str">
        <f t="shared" si="90"/>
        <v>A0F928</v>
      </c>
      <c r="V1811">
        <v>0</v>
      </c>
      <c r="W1811">
        <v>0</v>
      </c>
      <c r="X1811">
        <v>2</v>
      </c>
      <c r="Z1811">
        <v>0</v>
      </c>
      <c r="AA1811">
        <v>9</v>
      </c>
      <c r="AB1811">
        <v>3</v>
      </c>
      <c r="AC1811">
        <v>0</v>
      </c>
      <c r="AD1811">
        <v>10</v>
      </c>
      <c r="AE1811">
        <v>0</v>
      </c>
      <c r="AF1811">
        <v>3</v>
      </c>
      <c r="AG1811">
        <v>2</v>
      </c>
      <c r="AH1811">
        <v>1</v>
      </c>
      <c r="AI1811" t="s">
        <v>964</v>
      </c>
      <c r="AJ1811">
        <v>35.840578000000001</v>
      </c>
      <c r="AK1811" t="s">
        <v>965</v>
      </c>
      <c r="AL1811">
        <v>-83.999598000000006</v>
      </c>
      <c r="AM1811">
        <v>25</v>
      </c>
      <c r="AN1811">
        <v>1575</v>
      </c>
      <c r="AO1811" t="s">
        <v>118</v>
      </c>
      <c r="AP1811">
        <v>88</v>
      </c>
      <c r="AQ1811">
        <v>87</v>
      </c>
      <c r="AR1811">
        <v>-64</v>
      </c>
      <c r="AZ1811">
        <v>300</v>
      </c>
      <c r="BA1811">
        <v>1</v>
      </c>
      <c r="BB1811" t="str">
        <f t="shared" si="89"/>
        <v xml:space="preserve">N162AM  </v>
      </c>
      <c r="BC1811">
        <v>1</v>
      </c>
      <c r="BE1811">
        <v>0</v>
      </c>
      <c r="BF1811">
        <v>0</v>
      </c>
      <c r="BG1811">
        <v>0</v>
      </c>
      <c r="BH1811">
        <v>1850</v>
      </c>
      <c r="BI1811">
        <v>1</v>
      </c>
      <c r="BJ1811">
        <v>1</v>
      </c>
      <c r="BK1811">
        <v>1</v>
      </c>
      <c r="BL1811">
        <v>0</v>
      </c>
      <c r="BO1811">
        <v>0</v>
      </c>
      <c r="BP1811">
        <v>0</v>
      </c>
      <c r="BW1811" t="str">
        <f>"14:52:25.128"</f>
        <v>14:52:25.128</v>
      </c>
      <c r="CJ1811">
        <v>3</v>
      </c>
      <c r="CK1811">
        <v>2</v>
      </c>
      <c r="CL1811">
        <v>0</v>
      </c>
      <c r="CM1811">
        <v>2</v>
      </c>
      <c r="CN1811">
        <v>0</v>
      </c>
      <c r="CO1811">
        <v>7</v>
      </c>
      <c r="CP1811" t="s">
        <v>119</v>
      </c>
      <c r="CQ1811">
        <v>232</v>
      </c>
      <c r="CR1811">
        <v>2</v>
      </c>
      <c r="CW1811">
        <v>6926539</v>
      </c>
      <c r="CY1811">
        <v>1</v>
      </c>
      <c r="CZ1811">
        <v>0</v>
      </c>
      <c r="DA1811">
        <v>1</v>
      </c>
      <c r="DB1811">
        <v>0</v>
      </c>
      <c r="DC1811">
        <v>0</v>
      </c>
      <c r="DD1811">
        <v>1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>"12/16/2021 14:52:25.469"</f>
        <v>12/16/2021 14:52:25.469</v>
      </c>
      <c r="C1812" t="str">
        <f t="shared" si="88"/>
        <v>FFDFD3C0</v>
      </c>
      <c r="D1812" t="s">
        <v>124</v>
      </c>
      <c r="E1812">
        <v>5</v>
      </c>
      <c r="F1812">
        <v>1005</v>
      </c>
      <c r="G1812" t="s">
        <v>114</v>
      </c>
      <c r="J1812" t="s">
        <v>125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>"14:52:25.125"</f>
        <v>14:52:25.125</v>
      </c>
      <c r="T1812" t="str">
        <f>"14:52:24.625"</f>
        <v>14:52:24.625</v>
      </c>
      <c r="U1812" t="str">
        <f t="shared" si="90"/>
        <v>A0F928</v>
      </c>
      <c r="V1812">
        <v>0</v>
      </c>
      <c r="W1812">
        <v>0</v>
      </c>
      <c r="X1812">
        <v>2</v>
      </c>
      <c r="Z1812">
        <v>0</v>
      </c>
      <c r="AA1812">
        <v>9</v>
      </c>
      <c r="AB1812">
        <v>3</v>
      </c>
      <c r="AC1812">
        <v>0</v>
      </c>
      <c r="AD1812">
        <v>10</v>
      </c>
      <c r="AE1812">
        <v>0</v>
      </c>
      <c r="AF1812">
        <v>3</v>
      </c>
      <c r="AG1812">
        <v>2</v>
      </c>
      <c r="AH1812">
        <v>1</v>
      </c>
      <c r="AI1812" t="s">
        <v>964</v>
      </c>
      <c r="AJ1812">
        <v>35.840578000000001</v>
      </c>
      <c r="AK1812" t="s">
        <v>965</v>
      </c>
      <c r="AL1812">
        <v>-83.999598000000006</v>
      </c>
      <c r="AM1812">
        <v>25</v>
      </c>
      <c r="AN1812">
        <v>1575</v>
      </c>
      <c r="AO1812" t="s">
        <v>118</v>
      </c>
      <c r="AP1812">
        <v>88</v>
      </c>
      <c r="AQ1812">
        <v>87</v>
      </c>
      <c r="AR1812">
        <v>-64</v>
      </c>
      <c r="AZ1812">
        <v>300</v>
      </c>
      <c r="BA1812">
        <v>1</v>
      </c>
      <c r="BB1812" t="str">
        <f t="shared" si="89"/>
        <v xml:space="preserve">N162AM  </v>
      </c>
      <c r="BC1812">
        <v>1</v>
      </c>
      <c r="BE1812">
        <v>0</v>
      </c>
      <c r="BF1812">
        <v>0</v>
      </c>
      <c r="BG1812">
        <v>0</v>
      </c>
      <c r="BH1812">
        <v>1850</v>
      </c>
      <c r="BI1812">
        <v>1</v>
      </c>
      <c r="BJ1812">
        <v>1</v>
      </c>
      <c r="BK1812">
        <v>1</v>
      </c>
      <c r="BL1812">
        <v>0</v>
      </c>
      <c r="BO1812">
        <v>0</v>
      </c>
      <c r="BP1812">
        <v>0</v>
      </c>
      <c r="BW1812" t="str">
        <f>"14:52:25.128"</f>
        <v>14:52:25.128</v>
      </c>
      <c r="CJ1812">
        <v>3</v>
      </c>
      <c r="CK1812">
        <v>2</v>
      </c>
      <c r="CL1812">
        <v>0</v>
      </c>
      <c r="CM1812">
        <v>2</v>
      </c>
      <c r="CN1812">
        <v>0</v>
      </c>
      <c r="CO1812">
        <v>7</v>
      </c>
      <c r="CP1812" t="s">
        <v>119</v>
      </c>
      <c r="CQ1812">
        <v>232</v>
      </c>
      <c r="CR1812">
        <v>2</v>
      </c>
      <c r="CW1812">
        <v>6926539</v>
      </c>
      <c r="CY1812">
        <v>1</v>
      </c>
      <c r="CZ1812">
        <v>0</v>
      </c>
      <c r="DA1812">
        <v>1</v>
      </c>
      <c r="DB1812">
        <v>0</v>
      </c>
      <c r="DC1812">
        <v>0</v>
      </c>
      <c r="DD1812">
        <v>1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>"12/16/2021 14:52:25.469"</f>
        <v>12/16/2021 14:52:25.469</v>
      </c>
      <c r="C1813" t="str">
        <f t="shared" si="88"/>
        <v>FFDFD3C0</v>
      </c>
      <c r="D1813" t="s">
        <v>113</v>
      </c>
      <c r="E1813">
        <v>8</v>
      </c>
      <c r="H1813">
        <v>176</v>
      </c>
      <c r="I1813" t="s">
        <v>114</v>
      </c>
      <c r="J1813" t="s">
        <v>115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>"14:52:25.125"</f>
        <v>14:52:25.125</v>
      </c>
      <c r="T1813" t="str">
        <f>"14:52:24.625"</f>
        <v>14:52:24.625</v>
      </c>
      <c r="U1813" t="str">
        <f t="shared" si="90"/>
        <v>A0F928</v>
      </c>
      <c r="V1813">
        <v>0</v>
      </c>
      <c r="W1813">
        <v>0</v>
      </c>
      <c r="X1813">
        <v>2</v>
      </c>
      <c r="Z1813">
        <v>0</v>
      </c>
      <c r="AA1813">
        <v>9</v>
      </c>
      <c r="AB1813">
        <v>3</v>
      </c>
      <c r="AC1813">
        <v>0</v>
      </c>
      <c r="AD1813">
        <v>10</v>
      </c>
      <c r="AE1813">
        <v>0</v>
      </c>
      <c r="AF1813">
        <v>3</v>
      </c>
      <c r="AG1813">
        <v>2</v>
      </c>
      <c r="AH1813">
        <v>1</v>
      </c>
      <c r="AI1813" t="s">
        <v>964</v>
      </c>
      <c r="AJ1813">
        <v>35.840578000000001</v>
      </c>
      <c r="AK1813" t="s">
        <v>965</v>
      </c>
      <c r="AL1813">
        <v>-83.999598000000006</v>
      </c>
      <c r="AM1813">
        <v>25</v>
      </c>
      <c r="AN1813">
        <v>1575</v>
      </c>
      <c r="AO1813" t="s">
        <v>118</v>
      </c>
      <c r="AP1813">
        <v>88</v>
      </c>
      <c r="AQ1813">
        <v>87</v>
      </c>
      <c r="AR1813">
        <v>-64</v>
      </c>
      <c r="AZ1813">
        <v>300</v>
      </c>
      <c r="BA1813">
        <v>1</v>
      </c>
      <c r="BB1813" t="str">
        <f t="shared" si="89"/>
        <v xml:space="preserve">N162AM  </v>
      </c>
      <c r="BC1813">
        <v>1</v>
      </c>
      <c r="BE1813">
        <v>0</v>
      </c>
      <c r="BF1813">
        <v>0</v>
      </c>
      <c r="BG1813">
        <v>0</v>
      </c>
      <c r="BH1813">
        <v>1850</v>
      </c>
      <c r="BI1813">
        <v>1</v>
      </c>
      <c r="BJ1813">
        <v>1</v>
      </c>
      <c r="BK1813">
        <v>1</v>
      </c>
      <c r="BL1813">
        <v>0</v>
      </c>
      <c r="BO1813">
        <v>0</v>
      </c>
      <c r="BP1813">
        <v>0</v>
      </c>
      <c r="BW1813" t="str">
        <f>"14:52:25.128"</f>
        <v>14:52:25.128</v>
      </c>
      <c r="CJ1813">
        <v>3</v>
      </c>
      <c r="CK1813">
        <v>2</v>
      </c>
      <c r="CL1813">
        <v>0</v>
      </c>
      <c r="CM1813">
        <v>2</v>
      </c>
      <c r="CN1813">
        <v>0</v>
      </c>
      <c r="CO1813">
        <v>7</v>
      </c>
      <c r="CP1813" t="s">
        <v>119</v>
      </c>
      <c r="CQ1813">
        <v>232</v>
      </c>
      <c r="CR1813">
        <v>2</v>
      </c>
      <c r="CW1813">
        <v>6926539</v>
      </c>
      <c r="CY1813">
        <v>1</v>
      </c>
      <c r="CZ1813">
        <v>0</v>
      </c>
      <c r="DA1813">
        <v>1</v>
      </c>
      <c r="DB1813">
        <v>0</v>
      </c>
      <c r="DC1813">
        <v>0</v>
      </c>
      <c r="DD1813">
        <v>1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>"12/16/2021 14:52:26.470"</f>
        <v>12/16/2021 14:52:26.470</v>
      </c>
      <c r="C1814" t="str">
        <f t="shared" si="88"/>
        <v>FFDFD3C0</v>
      </c>
      <c r="D1814" t="s">
        <v>124</v>
      </c>
      <c r="E1814">
        <v>10</v>
      </c>
      <c r="F1814">
        <v>1010</v>
      </c>
      <c r="G1814" t="s">
        <v>130</v>
      </c>
      <c r="J1814" t="s">
        <v>125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>"14:52:26.289"</f>
        <v>14:52:26.289</v>
      </c>
      <c r="T1814" t="str">
        <f>"14:52:25.789"</f>
        <v>14:52:25.789</v>
      </c>
      <c r="U1814" t="str">
        <f t="shared" si="90"/>
        <v>A0F928</v>
      </c>
      <c r="V1814">
        <v>0</v>
      </c>
      <c r="W1814">
        <v>0</v>
      </c>
      <c r="X1814">
        <v>2</v>
      </c>
      <c r="Z1814">
        <v>0</v>
      </c>
      <c r="AA1814">
        <v>9</v>
      </c>
      <c r="AB1814">
        <v>3</v>
      </c>
      <c r="AC1814">
        <v>0</v>
      </c>
      <c r="AD1814">
        <v>10</v>
      </c>
      <c r="AE1814">
        <v>0</v>
      </c>
      <c r="AF1814">
        <v>3</v>
      </c>
      <c r="AG1814">
        <v>2</v>
      </c>
      <c r="AH1814">
        <v>1</v>
      </c>
      <c r="AI1814" t="s">
        <v>966</v>
      </c>
      <c r="AJ1814">
        <v>35.841071999999997</v>
      </c>
      <c r="AK1814" t="s">
        <v>221</v>
      </c>
      <c r="AL1814">
        <v>-83.998953999999998</v>
      </c>
      <c r="AM1814">
        <v>25</v>
      </c>
      <c r="AN1814">
        <v>1600</v>
      </c>
      <c r="AO1814" t="s">
        <v>118</v>
      </c>
      <c r="AP1814">
        <v>88</v>
      </c>
      <c r="AQ1814">
        <v>87</v>
      </c>
      <c r="AR1814">
        <v>0</v>
      </c>
      <c r="AZ1814">
        <v>300</v>
      </c>
      <c r="BA1814">
        <v>1</v>
      </c>
      <c r="BB1814" t="str">
        <f t="shared" si="89"/>
        <v xml:space="preserve">N162AM  </v>
      </c>
      <c r="BC1814">
        <v>1</v>
      </c>
      <c r="BE1814">
        <v>0</v>
      </c>
      <c r="BF1814">
        <v>0</v>
      </c>
      <c r="BG1814">
        <v>0</v>
      </c>
      <c r="BH1814">
        <v>1850</v>
      </c>
      <c r="BI1814">
        <v>1</v>
      </c>
      <c r="BJ1814">
        <v>1</v>
      </c>
      <c r="BK1814">
        <v>1</v>
      </c>
      <c r="BL1814">
        <v>0</v>
      </c>
      <c r="BO1814">
        <v>0</v>
      </c>
      <c r="BP1814">
        <v>0</v>
      </c>
      <c r="BW1814" t="str">
        <f>"14:52:26.293"</f>
        <v>14:52:26.293</v>
      </c>
      <c r="CJ1814">
        <v>3</v>
      </c>
      <c r="CK1814">
        <v>2</v>
      </c>
      <c r="CL1814">
        <v>0</v>
      </c>
      <c r="CM1814">
        <v>2</v>
      </c>
      <c r="CN1814">
        <v>0</v>
      </c>
      <c r="CO1814">
        <v>6</v>
      </c>
      <c r="CP1814" t="s">
        <v>119</v>
      </c>
      <c r="CQ1814">
        <v>232</v>
      </c>
      <c r="CR1814">
        <v>2</v>
      </c>
      <c r="CW1814">
        <v>6928427</v>
      </c>
      <c r="CY1814">
        <v>1</v>
      </c>
      <c r="CZ1814">
        <v>0</v>
      </c>
      <c r="DA1814">
        <v>0</v>
      </c>
      <c r="DB1814">
        <v>0</v>
      </c>
      <c r="DC1814">
        <v>0</v>
      </c>
      <c r="DD1814">
        <v>1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>"12/16/2021 14:52:26.470"</f>
        <v>12/16/2021 14:52:26.470</v>
      </c>
      <c r="C1815" t="str">
        <f t="shared" si="88"/>
        <v>FFDFD3C0</v>
      </c>
      <c r="D1815" t="s">
        <v>124</v>
      </c>
      <c r="E1815">
        <v>5</v>
      </c>
      <c r="F1815">
        <v>1005</v>
      </c>
      <c r="G1815" t="s">
        <v>114</v>
      </c>
      <c r="J1815" t="s">
        <v>125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>"14:52:26.289"</f>
        <v>14:52:26.289</v>
      </c>
      <c r="T1815" t="str">
        <f>"14:52:25.789"</f>
        <v>14:52:25.789</v>
      </c>
      <c r="U1815" t="str">
        <f t="shared" si="90"/>
        <v>A0F928</v>
      </c>
      <c r="V1815">
        <v>0</v>
      </c>
      <c r="W1815">
        <v>0</v>
      </c>
      <c r="X1815">
        <v>2</v>
      </c>
      <c r="Z1815">
        <v>0</v>
      </c>
      <c r="AA1815">
        <v>9</v>
      </c>
      <c r="AB1815">
        <v>3</v>
      </c>
      <c r="AC1815">
        <v>0</v>
      </c>
      <c r="AD1815">
        <v>10</v>
      </c>
      <c r="AE1815">
        <v>0</v>
      </c>
      <c r="AF1815">
        <v>3</v>
      </c>
      <c r="AG1815">
        <v>2</v>
      </c>
      <c r="AH1815">
        <v>1</v>
      </c>
      <c r="AI1815" t="s">
        <v>966</v>
      </c>
      <c r="AJ1815">
        <v>35.841071999999997</v>
      </c>
      <c r="AK1815" t="s">
        <v>221</v>
      </c>
      <c r="AL1815">
        <v>-83.998953999999998</v>
      </c>
      <c r="AM1815">
        <v>25</v>
      </c>
      <c r="AN1815">
        <v>1600</v>
      </c>
      <c r="AO1815" t="s">
        <v>118</v>
      </c>
      <c r="AP1815">
        <v>88</v>
      </c>
      <c r="AQ1815">
        <v>87</v>
      </c>
      <c r="AR1815">
        <v>0</v>
      </c>
      <c r="AZ1815">
        <v>300</v>
      </c>
      <c r="BA1815">
        <v>1</v>
      </c>
      <c r="BB1815" t="str">
        <f t="shared" si="89"/>
        <v xml:space="preserve">N162AM  </v>
      </c>
      <c r="BC1815">
        <v>1</v>
      </c>
      <c r="BE1815">
        <v>0</v>
      </c>
      <c r="BF1815">
        <v>0</v>
      </c>
      <c r="BG1815">
        <v>0</v>
      </c>
      <c r="BH1815">
        <v>1850</v>
      </c>
      <c r="BI1815">
        <v>1</v>
      </c>
      <c r="BJ1815">
        <v>1</v>
      </c>
      <c r="BK1815">
        <v>1</v>
      </c>
      <c r="BL1815">
        <v>0</v>
      </c>
      <c r="BO1815">
        <v>0</v>
      </c>
      <c r="BP1815">
        <v>0</v>
      </c>
      <c r="BW1815" t="str">
        <f>"14:52:26.293"</f>
        <v>14:52:26.293</v>
      </c>
      <c r="CJ1815">
        <v>3</v>
      </c>
      <c r="CK1815">
        <v>2</v>
      </c>
      <c r="CL1815">
        <v>0</v>
      </c>
      <c r="CM1815">
        <v>2</v>
      </c>
      <c r="CN1815">
        <v>0</v>
      </c>
      <c r="CO1815">
        <v>6</v>
      </c>
      <c r="CP1815" t="s">
        <v>119</v>
      </c>
      <c r="CQ1815">
        <v>232</v>
      </c>
      <c r="CR1815">
        <v>2</v>
      </c>
      <c r="CW1815">
        <v>6928427</v>
      </c>
      <c r="CY1815">
        <v>1</v>
      </c>
      <c r="CZ1815">
        <v>0</v>
      </c>
      <c r="DA1815">
        <v>1</v>
      </c>
      <c r="DB1815">
        <v>0</v>
      </c>
      <c r="DC1815">
        <v>0</v>
      </c>
      <c r="DD1815">
        <v>1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>"12/16/2021 14:52:26.470"</f>
        <v>12/16/2021 14:52:26.470</v>
      </c>
      <c r="C1816" t="str">
        <f t="shared" si="88"/>
        <v>FFDFD3C0</v>
      </c>
      <c r="D1816" t="s">
        <v>133</v>
      </c>
      <c r="E1816">
        <v>44</v>
      </c>
      <c r="H1816">
        <v>131</v>
      </c>
      <c r="I1816" t="s">
        <v>134</v>
      </c>
      <c r="J1816" t="s">
        <v>135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>"14:52:26.289"</f>
        <v>14:52:26.289</v>
      </c>
      <c r="T1816" t="str">
        <f>"14:52:25.789"</f>
        <v>14:52:25.789</v>
      </c>
      <c r="U1816" t="str">
        <f t="shared" si="90"/>
        <v>A0F928</v>
      </c>
      <c r="V1816">
        <v>0</v>
      </c>
      <c r="W1816">
        <v>0</v>
      </c>
      <c r="X1816">
        <v>2</v>
      </c>
      <c r="Z1816">
        <v>0</v>
      </c>
      <c r="AA1816">
        <v>9</v>
      </c>
      <c r="AB1816">
        <v>3</v>
      </c>
      <c r="AC1816">
        <v>0</v>
      </c>
      <c r="AD1816">
        <v>10</v>
      </c>
      <c r="AE1816">
        <v>0</v>
      </c>
      <c r="AF1816">
        <v>3</v>
      </c>
      <c r="AG1816">
        <v>2</v>
      </c>
      <c r="AH1816">
        <v>1</v>
      </c>
      <c r="AI1816" t="s">
        <v>966</v>
      </c>
      <c r="AJ1816">
        <v>35.841071999999997</v>
      </c>
      <c r="AK1816" t="s">
        <v>221</v>
      </c>
      <c r="AL1816">
        <v>-83.998953999999998</v>
      </c>
      <c r="AM1816">
        <v>25</v>
      </c>
      <c r="AN1816">
        <v>1600</v>
      </c>
      <c r="AO1816" t="s">
        <v>118</v>
      </c>
      <c r="AP1816">
        <v>88</v>
      </c>
      <c r="AQ1816">
        <v>87</v>
      </c>
      <c r="AR1816">
        <v>0</v>
      </c>
      <c r="AZ1816">
        <v>300</v>
      </c>
      <c r="BA1816">
        <v>1</v>
      </c>
      <c r="BB1816" t="str">
        <f t="shared" si="89"/>
        <v xml:space="preserve">N162AM  </v>
      </c>
      <c r="BC1816">
        <v>1</v>
      </c>
      <c r="BE1816">
        <v>0</v>
      </c>
      <c r="BF1816">
        <v>0</v>
      </c>
      <c r="BG1816">
        <v>0</v>
      </c>
      <c r="BH1816">
        <v>1850</v>
      </c>
      <c r="BI1816">
        <v>1</v>
      </c>
      <c r="BJ1816">
        <v>1</v>
      </c>
      <c r="BK1816">
        <v>1</v>
      </c>
      <c r="BL1816">
        <v>0</v>
      </c>
      <c r="BO1816">
        <v>0</v>
      </c>
      <c r="BP1816">
        <v>0</v>
      </c>
      <c r="BW1816" t="str">
        <f>"14:52:26.293"</f>
        <v>14:52:26.293</v>
      </c>
      <c r="CJ1816">
        <v>3</v>
      </c>
      <c r="CK1816">
        <v>2</v>
      </c>
      <c r="CL1816">
        <v>0</v>
      </c>
      <c r="CM1816">
        <v>2</v>
      </c>
      <c r="CN1816">
        <v>0</v>
      </c>
      <c r="CO1816">
        <v>6</v>
      </c>
      <c r="CP1816" t="s">
        <v>119</v>
      </c>
      <c r="CQ1816">
        <v>232</v>
      </c>
      <c r="CR1816">
        <v>2</v>
      </c>
      <c r="CW1816">
        <v>6928427</v>
      </c>
      <c r="CY1816">
        <v>1</v>
      </c>
      <c r="CZ1816">
        <v>0</v>
      </c>
      <c r="DA1816">
        <v>1</v>
      </c>
      <c r="DB1816">
        <v>0</v>
      </c>
      <c r="DC1816">
        <v>0</v>
      </c>
      <c r="DD1816">
        <v>1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>"12/16/2021 14:52:26.501"</f>
        <v>12/16/2021 14:52:26.501</v>
      </c>
      <c r="C1817" t="str">
        <f t="shared" si="88"/>
        <v>FFDFD3C0</v>
      </c>
      <c r="D1817" t="s">
        <v>113</v>
      </c>
      <c r="E1817">
        <v>8</v>
      </c>
      <c r="H1817">
        <v>176</v>
      </c>
      <c r="I1817" t="s">
        <v>114</v>
      </c>
      <c r="J1817" t="s">
        <v>115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>"14:52:26.289"</f>
        <v>14:52:26.289</v>
      </c>
      <c r="T1817" t="str">
        <f>"14:52:25.789"</f>
        <v>14:52:25.789</v>
      </c>
      <c r="U1817" t="str">
        <f t="shared" si="90"/>
        <v>A0F928</v>
      </c>
      <c r="V1817">
        <v>0</v>
      </c>
      <c r="W1817">
        <v>0</v>
      </c>
      <c r="X1817">
        <v>2</v>
      </c>
      <c r="Z1817">
        <v>0</v>
      </c>
      <c r="AA1817">
        <v>9</v>
      </c>
      <c r="AB1817">
        <v>3</v>
      </c>
      <c r="AC1817">
        <v>0</v>
      </c>
      <c r="AD1817">
        <v>10</v>
      </c>
      <c r="AE1817">
        <v>0</v>
      </c>
      <c r="AF1817">
        <v>3</v>
      </c>
      <c r="AG1817">
        <v>2</v>
      </c>
      <c r="AH1817">
        <v>1</v>
      </c>
      <c r="AI1817" t="s">
        <v>966</v>
      </c>
      <c r="AJ1817">
        <v>35.841071999999997</v>
      </c>
      <c r="AK1817" t="s">
        <v>221</v>
      </c>
      <c r="AL1817">
        <v>-83.998953999999998</v>
      </c>
      <c r="AM1817">
        <v>25</v>
      </c>
      <c r="AN1817">
        <v>1600</v>
      </c>
      <c r="AO1817" t="s">
        <v>118</v>
      </c>
      <c r="AP1817">
        <v>88</v>
      </c>
      <c r="AQ1817">
        <v>87</v>
      </c>
      <c r="AR1817">
        <v>0</v>
      </c>
      <c r="AZ1817">
        <v>300</v>
      </c>
      <c r="BA1817">
        <v>1</v>
      </c>
      <c r="BB1817" t="str">
        <f t="shared" si="89"/>
        <v xml:space="preserve">N162AM  </v>
      </c>
      <c r="BC1817">
        <v>1</v>
      </c>
      <c r="BE1817">
        <v>0</v>
      </c>
      <c r="BF1817">
        <v>0</v>
      </c>
      <c r="BG1817">
        <v>0</v>
      </c>
      <c r="BH1817">
        <v>1850</v>
      </c>
      <c r="BI1817">
        <v>1</v>
      </c>
      <c r="BJ1817">
        <v>1</v>
      </c>
      <c r="BK1817">
        <v>1</v>
      </c>
      <c r="BL1817">
        <v>0</v>
      </c>
      <c r="BO1817">
        <v>0</v>
      </c>
      <c r="BP1817">
        <v>0</v>
      </c>
      <c r="BW1817" t="str">
        <f>"14:52:26.293"</f>
        <v>14:52:26.293</v>
      </c>
      <c r="CJ1817">
        <v>3</v>
      </c>
      <c r="CK1817">
        <v>2</v>
      </c>
      <c r="CL1817">
        <v>0</v>
      </c>
      <c r="CM1817">
        <v>2</v>
      </c>
      <c r="CN1817">
        <v>0</v>
      </c>
      <c r="CO1817">
        <v>6</v>
      </c>
      <c r="CP1817" t="s">
        <v>119</v>
      </c>
      <c r="CQ1817">
        <v>232</v>
      </c>
      <c r="CR1817">
        <v>2</v>
      </c>
      <c r="CW1817">
        <v>6928427</v>
      </c>
      <c r="CY1817">
        <v>1</v>
      </c>
      <c r="CZ1817">
        <v>0</v>
      </c>
      <c r="DA1817">
        <v>1</v>
      </c>
      <c r="DB1817">
        <v>0</v>
      </c>
      <c r="DC1817">
        <v>0</v>
      </c>
      <c r="DD1817">
        <v>1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>"12/16/2021 14:52:27.423"</f>
        <v>12/16/2021 14:52:27.423</v>
      </c>
      <c r="C1818" t="str">
        <f t="shared" si="88"/>
        <v>FFDFD3C0</v>
      </c>
      <c r="D1818" t="s">
        <v>124</v>
      </c>
      <c r="E1818">
        <v>5</v>
      </c>
      <c r="F1818">
        <v>1005</v>
      </c>
      <c r="G1818" t="s">
        <v>114</v>
      </c>
      <c r="J1818" t="s">
        <v>125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>"14:52:27.234"</f>
        <v>14:52:27.234</v>
      </c>
      <c r="T1818" t="str">
        <f>"14:52:26.734"</f>
        <v>14:52:26.734</v>
      </c>
      <c r="U1818" t="str">
        <f t="shared" si="90"/>
        <v>A0F928</v>
      </c>
      <c r="V1818">
        <v>0</v>
      </c>
      <c r="W1818">
        <v>0</v>
      </c>
      <c r="X1818">
        <v>2</v>
      </c>
      <c r="Z1818">
        <v>0</v>
      </c>
      <c r="AA1818">
        <v>9</v>
      </c>
      <c r="AB1818">
        <v>3</v>
      </c>
      <c r="AC1818">
        <v>0</v>
      </c>
      <c r="AD1818">
        <v>10</v>
      </c>
      <c r="AE1818">
        <v>0</v>
      </c>
      <c r="AF1818">
        <v>3</v>
      </c>
      <c r="AG1818">
        <v>2</v>
      </c>
      <c r="AH1818">
        <v>1</v>
      </c>
      <c r="AI1818" t="s">
        <v>967</v>
      </c>
      <c r="AJ1818">
        <v>35.841436000000002</v>
      </c>
      <c r="AK1818" t="s">
        <v>968</v>
      </c>
      <c r="AL1818">
        <v>-83.998547000000002</v>
      </c>
      <c r="AM1818">
        <v>25</v>
      </c>
      <c r="AN1818">
        <v>1600</v>
      </c>
      <c r="AO1818" t="s">
        <v>118</v>
      </c>
      <c r="AP1818">
        <v>88</v>
      </c>
      <c r="AQ1818">
        <v>87</v>
      </c>
      <c r="AR1818">
        <v>0</v>
      </c>
      <c r="AZ1818">
        <v>300</v>
      </c>
      <c r="BA1818">
        <v>1</v>
      </c>
      <c r="BB1818" t="str">
        <f t="shared" si="89"/>
        <v xml:space="preserve">N162AM  </v>
      </c>
      <c r="BC1818">
        <v>1</v>
      </c>
      <c r="BE1818">
        <v>0</v>
      </c>
      <c r="BF1818">
        <v>0</v>
      </c>
      <c r="BG1818">
        <v>0</v>
      </c>
      <c r="BH1818">
        <v>1850</v>
      </c>
      <c r="BI1818">
        <v>1</v>
      </c>
      <c r="BJ1818">
        <v>1</v>
      </c>
      <c r="BK1818">
        <v>1</v>
      </c>
      <c r="BL1818">
        <v>0</v>
      </c>
      <c r="BO1818">
        <v>0</v>
      </c>
      <c r="BP1818">
        <v>0</v>
      </c>
      <c r="BW1818" t="str">
        <f>"14:52:27.235"</f>
        <v>14:52:27.235</v>
      </c>
      <c r="CJ1818">
        <v>3</v>
      </c>
      <c r="CK1818">
        <v>2</v>
      </c>
      <c r="CL1818">
        <v>0</v>
      </c>
      <c r="CM1818">
        <v>2</v>
      </c>
      <c r="CN1818">
        <v>0</v>
      </c>
      <c r="CO1818">
        <v>6</v>
      </c>
      <c r="CP1818" t="s">
        <v>119</v>
      </c>
      <c r="CQ1818">
        <v>232</v>
      </c>
      <c r="CR1818">
        <v>1</v>
      </c>
      <c r="CW1818">
        <v>15718341</v>
      </c>
      <c r="CY1818">
        <v>1</v>
      </c>
      <c r="CZ1818">
        <v>0</v>
      </c>
      <c r="DA1818">
        <v>0</v>
      </c>
      <c r="DB1818">
        <v>0</v>
      </c>
      <c r="DC1818">
        <v>0</v>
      </c>
      <c r="DD1818">
        <v>1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>"12/16/2021 14:52:27.438"</f>
        <v>12/16/2021 14:52:27.438</v>
      </c>
      <c r="C1819" t="str">
        <f t="shared" si="88"/>
        <v>FFDFD3C0</v>
      </c>
      <c r="D1819" t="s">
        <v>133</v>
      </c>
      <c r="E1819">
        <v>44</v>
      </c>
      <c r="H1819">
        <v>131</v>
      </c>
      <c r="I1819" t="s">
        <v>134</v>
      </c>
      <c r="J1819" t="s">
        <v>135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>"14:52:27.234"</f>
        <v>14:52:27.234</v>
      </c>
      <c r="T1819" t="str">
        <f>"14:52:26.734"</f>
        <v>14:52:26.734</v>
      </c>
      <c r="U1819" t="str">
        <f t="shared" si="90"/>
        <v>A0F928</v>
      </c>
      <c r="V1819">
        <v>0</v>
      </c>
      <c r="W1819">
        <v>0</v>
      </c>
      <c r="X1819">
        <v>2</v>
      </c>
      <c r="Z1819">
        <v>0</v>
      </c>
      <c r="AA1819">
        <v>9</v>
      </c>
      <c r="AB1819">
        <v>3</v>
      </c>
      <c r="AC1819">
        <v>0</v>
      </c>
      <c r="AD1819">
        <v>10</v>
      </c>
      <c r="AE1819">
        <v>0</v>
      </c>
      <c r="AF1819">
        <v>3</v>
      </c>
      <c r="AG1819">
        <v>2</v>
      </c>
      <c r="AH1819">
        <v>1</v>
      </c>
      <c r="AI1819" t="s">
        <v>967</v>
      </c>
      <c r="AJ1819">
        <v>35.841436000000002</v>
      </c>
      <c r="AK1819" t="s">
        <v>968</v>
      </c>
      <c r="AL1819">
        <v>-83.998547000000002</v>
      </c>
      <c r="AM1819">
        <v>25</v>
      </c>
      <c r="AN1819">
        <v>1600</v>
      </c>
      <c r="AO1819" t="s">
        <v>118</v>
      </c>
      <c r="AP1819">
        <v>88</v>
      </c>
      <c r="AQ1819">
        <v>87</v>
      </c>
      <c r="AR1819">
        <v>0</v>
      </c>
      <c r="AZ1819">
        <v>300</v>
      </c>
      <c r="BA1819">
        <v>1</v>
      </c>
      <c r="BB1819" t="str">
        <f t="shared" si="89"/>
        <v xml:space="preserve">N162AM  </v>
      </c>
      <c r="BC1819">
        <v>1</v>
      </c>
      <c r="BE1819">
        <v>0</v>
      </c>
      <c r="BF1819">
        <v>0</v>
      </c>
      <c r="BG1819">
        <v>0</v>
      </c>
      <c r="BH1819">
        <v>1850</v>
      </c>
      <c r="BI1819">
        <v>1</v>
      </c>
      <c r="BJ1819">
        <v>1</v>
      </c>
      <c r="BK1819">
        <v>1</v>
      </c>
      <c r="BL1819">
        <v>0</v>
      </c>
      <c r="BO1819">
        <v>0</v>
      </c>
      <c r="BP1819">
        <v>0</v>
      </c>
      <c r="BW1819" t="str">
        <f>"14:52:27.235"</f>
        <v>14:52:27.235</v>
      </c>
      <c r="CJ1819">
        <v>3</v>
      </c>
      <c r="CK1819">
        <v>2</v>
      </c>
      <c r="CL1819">
        <v>0</v>
      </c>
      <c r="CM1819">
        <v>2</v>
      </c>
      <c r="CN1819">
        <v>0</v>
      </c>
      <c r="CO1819">
        <v>6</v>
      </c>
      <c r="CP1819" t="s">
        <v>119</v>
      </c>
      <c r="CQ1819">
        <v>232</v>
      </c>
      <c r="CR1819">
        <v>1</v>
      </c>
      <c r="CW1819">
        <v>15718341</v>
      </c>
      <c r="CY1819">
        <v>1</v>
      </c>
      <c r="CZ1819">
        <v>0</v>
      </c>
      <c r="DA1819">
        <v>1</v>
      </c>
      <c r="DB1819">
        <v>0</v>
      </c>
      <c r="DC1819">
        <v>0</v>
      </c>
      <c r="DD1819">
        <v>1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>"12/16/2021 14:52:27.470"</f>
        <v>12/16/2021 14:52:27.470</v>
      </c>
      <c r="C1820" t="str">
        <f t="shared" si="88"/>
        <v>FFDFD3C0</v>
      </c>
      <c r="D1820" t="s">
        <v>113</v>
      </c>
      <c r="E1820">
        <v>8</v>
      </c>
      <c r="H1820">
        <v>176</v>
      </c>
      <c r="I1820" t="s">
        <v>114</v>
      </c>
      <c r="J1820" t="s">
        <v>115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>"14:52:27.234"</f>
        <v>14:52:27.234</v>
      </c>
      <c r="T1820" t="str">
        <f>"14:52:26.734"</f>
        <v>14:52:26.734</v>
      </c>
      <c r="U1820" t="str">
        <f t="shared" si="90"/>
        <v>A0F928</v>
      </c>
      <c r="V1820">
        <v>0</v>
      </c>
      <c r="W1820">
        <v>0</v>
      </c>
      <c r="X1820">
        <v>2</v>
      </c>
      <c r="Z1820">
        <v>0</v>
      </c>
      <c r="AA1820">
        <v>9</v>
      </c>
      <c r="AB1820">
        <v>3</v>
      </c>
      <c r="AC1820">
        <v>0</v>
      </c>
      <c r="AD1820">
        <v>10</v>
      </c>
      <c r="AE1820">
        <v>0</v>
      </c>
      <c r="AF1820">
        <v>3</v>
      </c>
      <c r="AG1820">
        <v>2</v>
      </c>
      <c r="AH1820">
        <v>1</v>
      </c>
      <c r="AI1820" t="s">
        <v>967</v>
      </c>
      <c r="AJ1820">
        <v>35.841436000000002</v>
      </c>
      <c r="AK1820" t="s">
        <v>968</v>
      </c>
      <c r="AL1820">
        <v>-83.998547000000002</v>
      </c>
      <c r="AM1820">
        <v>25</v>
      </c>
      <c r="AN1820">
        <v>1600</v>
      </c>
      <c r="AO1820" t="s">
        <v>118</v>
      </c>
      <c r="AP1820">
        <v>88</v>
      </c>
      <c r="AQ1820">
        <v>87</v>
      </c>
      <c r="AR1820">
        <v>0</v>
      </c>
      <c r="AZ1820">
        <v>300</v>
      </c>
      <c r="BA1820">
        <v>1</v>
      </c>
      <c r="BB1820" t="str">
        <f t="shared" si="89"/>
        <v xml:space="preserve">N162AM  </v>
      </c>
      <c r="BC1820">
        <v>1</v>
      </c>
      <c r="BE1820">
        <v>0</v>
      </c>
      <c r="BF1820">
        <v>0</v>
      </c>
      <c r="BG1820">
        <v>0</v>
      </c>
      <c r="BH1820">
        <v>1850</v>
      </c>
      <c r="BI1820">
        <v>1</v>
      </c>
      <c r="BJ1820">
        <v>1</v>
      </c>
      <c r="BK1820">
        <v>1</v>
      </c>
      <c r="BL1820">
        <v>0</v>
      </c>
      <c r="BO1820">
        <v>0</v>
      </c>
      <c r="BP1820">
        <v>0</v>
      </c>
      <c r="BW1820" t="str">
        <f>"14:52:27.235"</f>
        <v>14:52:27.235</v>
      </c>
      <c r="CJ1820">
        <v>3</v>
      </c>
      <c r="CK1820">
        <v>2</v>
      </c>
      <c r="CL1820">
        <v>0</v>
      </c>
      <c r="CM1820">
        <v>2</v>
      </c>
      <c r="CN1820">
        <v>0</v>
      </c>
      <c r="CO1820">
        <v>6</v>
      </c>
      <c r="CP1820" t="s">
        <v>119</v>
      </c>
      <c r="CQ1820">
        <v>232</v>
      </c>
      <c r="CR1820">
        <v>1</v>
      </c>
      <c r="CW1820">
        <v>15718341</v>
      </c>
      <c r="CY1820">
        <v>1</v>
      </c>
      <c r="CZ1820">
        <v>0</v>
      </c>
      <c r="DA1820">
        <v>1</v>
      </c>
      <c r="DB1820">
        <v>0</v>
      </c>
      <c r="DC1820">
        <v>0</v>
      </c>
      <c r="DD1820">
        <v>1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>"12/16/2021 14:52:27.470"</f>
        <v>12/16/2021 14:52:27.470</v>
      </c>
      <c r="C1821" t="str">
        <f t="shared" si="88"/>
        <v>FFDFD3C0</v>
      </c>
      <c r="D1821" t="s">
        <v>124</v>
      </c>
      <c r="E1821">
        <v>10</v>
      </c>
      <c r="F1821">
        <v>1010</v>
      </c>
      <c r="G1821" t="s">
        <v>130</v>
      </c>
      <c r="J1821" t="s">
        <v>125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>"14:52:27.234"</f>
        <v>14:52:27.234</v>
      </c>
      <c r="T1821" t="str">
        <f>"14:52:26.734"</f>
        <v>14:52:26.734</v>
      </c>
      <c r="U1821" t="str">
        <f t="shared" si="90"/>
        <v>A0F928</v>
      </c>
      <c r="V1821">
        <v>0</v>
      </c>
      <c r="W1821">
        <v>0</v>
      </c>
      <c r="X1821">
        <v>2</v>
      </c>
      <c r="Z1821">
        <v>0</v>
      </c>
      <c r="AA1821">
        <v>9</v>
      </c>
      <c r="AB1821">
        <v>3</v>
      </c>
      <c r="AC1821">
        <v>0</v>
      </c>
      <c r="AD1821">
        <v>10</v>
      </c>
      <c r="AE1821">
        <v>0</v>
      </c>
      <c r="AF1821">
        <v>3</v>
      </c>
      <c r="AG1821">
        <v>2</v>
      </c>
      <c r="AH1821">
        <v>1</v>
      </c>
      <c r="AI1821" t="s">
        <v>967</v>
      </c>
      <c r="AJ1821">
        <v>35.841436000000002</v>
      </c>
      <c r="AK1821" t="s">
        <v>968</v>
      </c>
      <c r="AL1821">
        <v>-83.998547000000002</v>
      </c>
      <c r="AM1821">
        <v>25</v>
      </c>
      <c r="AN1821">
        <v>1600</v>
      </c>
      <c r="AO1821" t="s">
        <v>118</v>
      </c>
      <c r="AP1821">
        <v>88</v>
      </c>
      <c r="AQ1821">
        <v>87</v>
      </c>
      <c r="AR1821">
        <v>0</v>
      </c>
      <c r="AZ1821">
        <v>300</v>
      </c>
      <c r="BA1821">
        <v>1</v>
      </c>
      <c r="BB1821" t="str">
        <f t="shared" si="89"/>
        <v xml:space="preserve">N162AM  </v>
      </c>
      <c r="BC1821">
        <v>1</v>
      </c>
      <c r="BE1821">
        <v>0</v>
      </c>
      <c r="BF1821">
        <v>0</v>
      </c>
      <c r="BG1821">
        <v>0</v>
      </c>
      <c r="BH1821">
        <v>1850</v>
      </c>
      <c r="BI1821">
        <v>1</v>
      </c>
      <c r="BJ1821">
        <v>1</v>
      </c>
      <c r="BK1821">
        <v>1</v>
      </c>
      <c r="BL1821">
        <v>0</v>
      </c>
      <c r="BO1821">
        <v>0</v>
      </c>
      <c r="BP1821">
        <v>0</v>
      </c>
      <c r="BW1821" t="str">
        <f>"14:52:27.235"</f>
        <v>14:52:27.235</v>
      </c>
      <c r="CJ1821">
        <v>3</v>
      </c>
      <c r="CK1821">
        <v>2</v>
      </c>
      <c r="CL1821">
        <v>0</v>
      </c>
      <c r="CM1821">
        <v>2</v>
      </c>
      <c r="CN1821">
        <v>0</v>
      </c>
      <c r="CO1821">
        <v>6</v>
      </c>
      <c r="CP1821" t="s">
        <v>119</v>
      </c>
      <c r="CQ1821">
        <v>232</v>
      </c>
      <c r="CR1821">
        <v>1</v>
      </c>
      <c r="CW1821">
        <v>15718341</v>
      </c>
      <c r="CY1821">
        <v>1</v>
      </c>
      <c r="CZ1821">
        <v>0</v>
      </c>
      <c r="DA1821">
        <v>1</v>
      </c>
      <c r="DB1821">
        <v>0</v>
      </c>
      <c r="DC1821">
        <v>0</v>
      </c>
      <c r="DD1821">
        <v>1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>"12/16/2021 14:52:28.501"</f>
        <v>12/16/2021 14:52:28.501</v>
      </c>
      <c r="C1822" t="str">
        <f t="shared" si="88"/>
        <v>FFDFD3C0</v>
      </c>
      <c r="D1822" t="s">
        <v>133</v>
      </c>
      <c r="E1822">
        <v>44</v>
      </c>
      <c r="H1822">
        <v>131</v>
      </c>
      <c r="I1822" t="s">
        <v>134</v>
      </c>
      <c r="J1822" t="s">
        <v>135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>"14:52:28.313"</f>
        <v>14:52:28.313</v>
      </c>
      <c r="T1822" t="str">
        <f>"14:52:27.813"</f>
        <v>14:52:27.813</v>
      </c>
      <c r="U1822" t="str">
        <f t="shared" si="90"/>
        <v>A0F928</v>
      </c>
      <c r="V1822">
        <v>0</v>
      </c>
      <c r="W1822">
        <v>0</v>
      </c>
      <c r="X1822">
        <v>2</v>
      </c>
      <c r="Z1822">
        <v>0</v>
      </c>
      <c r="AA1822">
        <v>9</v>
      </c>
      <c r="AB1822">
        <v>3</v>
      </c>
      <c r="AC1822">
        <v>0</v>
      </c>
      <c r="AD1822">
        <v>10</v>
      </c>
      <c r="AE1822">
        <v>0</v>
      </c>
      <c r="AF1822">
        <v>3</v>
      </c>
      <c r="AG1822">
        <v>2</v>
      </c>
      <c r="AH1822">
        <v>1</v>
      </c>
      <c r="AI1822" t="s">
        <v>969</v>
      </c>
      <c r="AJ1822">
        <v>35.841866000000003</v>
      </c>
      <c r="AK1822" t="s">
        <v>970</v>
      </c>
      <c r="AL1822">
        <v>-83.997967000000003</v>
      </c>
      <c r="AM1822">
        <v>25</v>
      </c>
      <c r="AN1822">
        <v>1600</v>
      </c>
      <c r="AO1822" t="s">
        <v>118</v>
      </c>
      <c r="AP1822">
        <v>88</v>
      </c>
      <c r="AQ1822">
        <v>86</v>
      </c>
      <c r="AR1822">
        <v>0</v>
      </c>
      <c r="AZ1822">
        <v>300</v>
      </c>
      <c r="BA1822">
        <v>1</v>
      </c>
      <c r="BB1822" t="str">
        <f t="shared" si="89"/>
        <v xml:space="preserve">N162AM  </v>
      </c>
      <c r="BC1822">
        <v>1</v>
      </c>
      <c r="BE1822">
        <v>0</v>
      </c>
      <c r="BF1822">
        <v>0</v>
      </c>
      <c r="BG1822">
        <v>0</v>
      </c>
      <c r="BH1822">
        <v>1850</v>
      </c>
      <c r="BI1822">
        <v>1</v>
      </c>
      <c r="BJ1822">
        <v>1</v>
      </c>
      <c r="BK1822">
        <v>1</v>
      </c>
      <c r="BL1822">
        <v>0</v>
      </c>
      <c r="BO1822">
        <v>0</v>
      </c>
      <c r="BP1822">
        <v>0</v>
      </c>
      <c r="BW1822" t="str">
        <f>"14:52:28.318"</f>
        <v>14:52:28.318</v>
      </c>
      <c r="CJ1822">
        <v>3</v>
      </c>
      <c r="CK1822">
        <v>2</v>
      </c>
      <c r="CL1822">
        <v>0</v>
      </c>
      <c r="CM1822">
        <v>2</v>
      </c>
      <c r="CN1822">
        <v>0</v>
      </c>
      <c r="CO1822">
        <v>7</v>
      </c>
      <c r="CP1822" t="s">
        <v>119</v>
      </c>
      <c r="CQ1822">
        <v>232</v>
      </c>
      <c r="CR1822">
        <v>1</v>
      </c>
      <c r="CW1822">
        <v>15719910</v>
      </c>
      <c r="CY1822">
        <v>1</v>
      </c>
      <c r="CZ1822">
        <v>0</v>
      </c>
      <c r="DA1822">
        <v>0</v>
      </c>
      <c r="DB1822">
        <v>0</v>
      </c>
      <c r="DC1822">
        <v>0</v>
      </c>
      <c r="DD1822">
        <v>1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>"12/16/2021 14:52:28.548"</f>
        <v>12/16/2021 14:52:28.548</v>
      </c>
      <c r="C1823" t="str">
        <f t="shared" si="88"/>
        <v>FFDFD3C0</v>
      </c>
      <c r="D1823" t="s">
        <v>124</v>
      </c>
      <c r="E1823">
        <v>10</v>
      </c>
      <c r="F1823">
        <v>1010</v>
      </c>
      <c r="G1823" t="s">
        <v>130</v>
      </c>
      <c r="J1823" t="s">
        <v>125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>"14:52:28.313"</f>
        <v>14:52:28.313</v>
      </c>
      <c r="T1823" t="str">
        <f>"14:52:27.813"</f>
        <v>14:52:27.813</v>
      </c>
      <c r="U1823" t="str">
        <f t="shared" si="90"/>
        <v>A0F928</v>
      </c>
      <c r="V1823">
        <v>0</v>
      </c>
      <c r="W1823">
        <v>0</v>
      </c>
      <c r="X1823">
        <v>2</v>
      </c>
      <c r="Z1823">
        <v>0</v>
      </c>
      <c r="AA1823">
        <v>9</v>
      </c>
      <c r="AB1823">
        <v>3</v>
      </c>
      <c r="AC1823">
        <v>0</v>
      </c>
      <c r="AD1823">
        <v>10</v>
      </c>
      <c r="AE1823">
        <v>0</v>
      </c>
      <c r="AF1823">
        <v>3</v>
      </c>
      <c r="AG1823">
        <v>2</v>
      </c>
      <c r="AH1823">
        <v>1</v>
      </c>
      <c r="AI1823" t="s">
        <v>969</v>
      </c>
      <c r="AJ1823">
        <v>35.841866000000003</v>
      </c>
      <c r="AK1823" t="s">
        <v>970</v>
      </c>
      <c r="AL1823">
        <v>-83.997967000000003</v>
      </c>
      <c r="AM1823">
        <v>25</v>
      </c>
      <c r="AN1823">
        <v>1600</v>
      </c>
      <c r="AO1823" t="s">
        <v>118</v>
      </c>
      <c r="AP1823">
        <v>88</v>
      </c>
      <c r="AQ1823">
        <v>86</v>
      </c>
      <c r="AR1823">
        <v>0</v>
      </c>
      <c r="AZ1823">
        <v>300</v>
      </c>
      <c r="BA1823">
        <v>1</v>
      </c>
      <c r="BB1823" t="str">
        <f t="shared" si="89"/>
        <v xml:space="preserve">N162AM  </v>
      </c>
      <c r="BC1823">
        <v>1</v>
      </c>
      <c r="BE1823">
        <v>0</v>
      </c>
      <c r="BF1823">
        <v>0</v>
      </c>
      <c r="BG1823">
        <v>0</v>
      </c>
      <c r="BH1823">
        <v>1850</v>
      </c>
      <c r="BI1823">
        <v>1</v>
      </c>
      <c r="BJ1823">
        <v>1</v>
      </c>
      <c r="BK1823">
        <v>1</v>
      </c>
      <c r="BL1823">
        <v>0</v>
      </c>
      <c r="BO1823">
        <v>0</v>
      </c>
      <c r="BP1823">
        <v>0</v>
      </c>
      <c r="BW1823" t="str">
        <f>"14:52:28.318"</f>
        <v>14:52:28.318</v>
      </c>
      <c r="CJ1823">
        <v>3</v>
      </c>
      <c r="CK1823">
        <v>2</v>
      </c>
      <c r="CL1823">
        <v>0</v>
      </c>
      <c r="CM1823">
        <v>2</v>
      </c>
      <c r="CN1823">
        <v>0</v>
      </c>
      <c r="CO1823">
        <v>7</v>
      </c>
      <c r="CP1823" t="s">
        <v>119</v>
      </c>
      <c r="CQ1823">
        <v>232</v>
      </c>
      <c r="CR1823">
        <v>1</v>
      </c>
      <c r="CW1823">
        <v>15719910</v>
      </c>
      <c r="CY1823">
        <v>1</v>
      </c>
      <c r="CZ1823">
        <v>0</v>
      </c>
      <c r="DA1823">
        <v>1</v>
      </c>
      <c r="DB1823">
        <v>0</v>
      </c>
      <c r="DC1823">
        <v>0</v>
      </c>
      <c r="DD1823">
        <v>1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>"12/16/2021 14:52:28.548"</f>
        <v>12/16/2021 14:52:28.548</v>
      </c>
      <c r="C1824" t="str">
        <f t="shared" si="88"/>
        <v>FFDFD3C0</v>
      </c>
      <c r="D1824" t="s">
        <v>124</v>
      </c>
      <c r="E1824">
        <v>5</v>
      </c>
      <c r="F1824">
        <v>1005</v>
      </c>
      <c r="G1824" t="s">
        <v>114</v>
      </c>
      <c r="J1824" t="s">
        <v>125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>"14:52:28.313"</f>
        <v>14:52:28.313</v>
      </c>
      <c r="T1824" t="str">
        <f>"14:52:27.813"</f>
        <v>14:52:27.813</v>
      </c>
      <c r="U1824" t="str">
        <f t="shared" si="90"/>
        <v>A0F928</v>
      </c>
      <c r="V1824">
        <v>0</v>
      </c>
      <c r="W1824">
        <v>0</v>
      </c>
      <c r="X1824">
        <v>2</v>
      </c>
      <c r="Z1824">
        <v>0</v>
      </c>
      <c r="AA1824">
        <v>9</v>
      </c>
      <c r="AB1824">
        <v>3</v>
      </c>
      <c r="AC1824">
        <v>0</v>
      </c>
      <c r="AD1824">
        <v>10</v>
      </c>
      <c r="AE1824">
        <v>0</v>
      </c>
      <c r="AF1824">
        <v>3</v>
      </c>
      <c r="AG1824">
        <v>2</v>
      </c>
      <c r="AH1824">
        <v>1</v>
      </c>
      <c r="AI1824" t="s">
        <v>969</v>
      </c>
      <c r="AJ1824">
        <v>35.841866000000003</v>
      </c>
      <c r="AK1824" t="s">
        <v>970</v>
      </c>
      <c r="AL1824">
        <v>-83.997967000000003</v>
      </c>
      <c r="AM1824">
        <v>25</v>
      </c>
      <c r="AN1824">
        <v>1600</v>
      </c>
      <c r="AO1824" t="s">
        <v>118</v>
      </c>
      <c r="AP1824">
        <v>88</v>
      </c>
      <c r="AQ1824">
        <v>86</v>
      </c>
      <c r="AR1824">
        <v>0</v>
      </c>
      <c r="AZ1824">
        <v>300</v>
      </c>
      <c r="BA1824">
        <v>1</v>
      </c>
      <c r="BB1824" t="str">
        <f t="shared" si="89"/>
        <v xml:space="preserve">N162AM  </v>
      </c>
      <c r="BC1824">
        <v>1</v>
      </c>
      <c r="BE1824">
        <v>0</v>
      </c>
      <c r="BF1824">
        <v>0</v>
      </c>
      <c r="BG1824">
        <v>0</v>
      </c>
      <c r="BH1824">
        <v>1850</v>
      </c>
      <c r="BI1824">
        <v>1</v>
      </c>
      <c r="BJ1824">
        <v>1</v>
      </c>
      <c r="BK1824">
        <v>1</v>
      </c>
      <c r="BL1824">
        <v>0</v>
      </c>
      <c r="BO1824">
        <v>0</v>
      </c>
      <c r="BP1824">
        <v>0</v>
      </c>
      <c r="BW1824" t="str">
        <f>"14:52:28.318"</f>
        <v>14:52:28.318</v>
      </c>
      <c r="CJ1824">
        <v>3</v>
      </c>
      <c r="CK1824">
        <v>2</v>
      </c>
      <c r="CL1824">
        <v>0</v>
      </c>
      <c r="CM1824">
        <v>2</v>
      </c>
      <c r="CN1824">
        <v>0</v>
      </c>
      <c r="CO1824">
        <v>7</v>
      </c>
      <c r="CP1824" t="s">
        <v>119</v>
      </c>
      <c r="CQ1824">
        <v>232</v>
      </c>
      <c r="CR1824">
        <v>1</v>
      </c>
      <c r="CW1824">
        <v>15719910</v>
      </c>
      <c r="CY1824">
        <v>1</v>
      </c>
      <c r="CZ1824">
        <v>0</v>
      </c>
      <c r="DA1824">
        <v>1</v>
      </c>
      <c r="DB1824">
        <v>0</v>
      </c>
      <c r="DC1824">
        <v>0</v>
      </c>
      <c r="DD1824">
        <v>1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>"12/16/2021 14:52:28.517"</f>
        <v>12/16/2021 14:52:28.517</v>
      </c>
      <c r="C1825" t="str">
        <f t="shared" si="88"/>
        <v>FFDFD3C0</v>
      </c>
      <c r="D1825" t="s">
        <v>113</v>
      </c>
      <c r="E1825">
        <v>8</v>
      </c>
      <c r="H1825">
        <v>176</v>
      </c>
      <c r="I1825" t="s">
        <v>114</v>
      </c>
      <c r="J1825" t="s">
        <v>115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>"14:52:28.313"</f>
        <v>14:52:28.313</v>
      </c>
      <c r="T1825" t="str">
        <f>"14:52:27.813"</f>
        <v>14:52:27.813</v>
      </c>
      <c r="U1825" t="str">
        <f t="shared" si="90"/>
        <v>A0F928</v>
      </c>
      <c r="V1825">
        <v>0</v>
      </c>
      <c r="W1825">
        <v>0</v>
      </c>
      <c r="X1825">
        <v>2</v>
      </c>
      <c r="Z1825">
        <v>0</v>
      </c>
      <c r="AA1825">
        <v>9</v>
      </c>
      <c r="AB1825">
        <v>3</v>
      </c>
      <c r="AC1825">
        <v>0</v>
      </c>
      <c r="AD1825">
        <v>10</v>
      </c>
      <c r="AE1825">
        <v>0</v>
      </c>
      <c r="AF1825">
        <v>3</v>
      </c>
      <c r="AG1825">
        <v>2</v>
      </c>
      <c r="AH1825">
        <v>1</v>
      </c>
      <c r="AI1825" t="s">
        <v>969</v>
      </c>
      <c r="AJ1825">
        <v>35.841866000000003</v>
      </c>
      <c r="AK1825" t="s">
        <v>970</v>
      </c>
      <c r="AL1825">
        <v>-83.997967000000003</v>
      </c>
      <c r="AM1825">
        <v>25</v>
      </c>
      <c r="AN1825">
        <v>1600</v>
      </c>
      <c r="AO1825" t="s">
        <v>118</v>
      </c>
      <c r="AP1825">
        <v>88</v>
      </c>
      <c r="AQ1825">
        <v>86</v>
      </c>
      <c r="AR1825">
        <v>0</v>
      </c>
      <c r="AZ1825">
        <v>300</v>
      </c>
      <c r="BA1825">
        <v>1</v>
      </c>
      <c r="BB1825" t="str">
        <f t="shared" si="89"/>
        <v xml:space="preserve">N162AM  </v>
      </c>
      <c r="BC1825">
        <v>1</v>
      </c>
      <c r="BE1825">
        <v>0</v>
      </c>
      <c r="BF1825">
        <v>0</v>
      </c>
      <c r="BG1825">
        <v>0</v>
      </c>
      <c r="BH1825">
        <v>1850</v>
      </c>
      <c r="BI1825">
        <v>1</v>
      </c>
      <c r="BJ1825">
        <v>1</v>
      </c>
      <c r="BK1825">
        <v>1</v>
      </c>
      <c r="BL1825">
        <v>0</v>
      </c>
      <c r="BO1825">
        <v>0</v>
      </c>
      <c r="BP1825">
        <v>0</v>
      </c>
      <c r="BW1825" t="str">
        <f>"14:52:28.318"</f>
        <v>14:52:28.318</v>
      </c>
      <c r="CJ1825">
        <v>3</v>
      </c>
      <c r="CK1825">
        <v>2</v>
      </c>
      <c r="CL1825">
        <v>0</v>
      </c>
      <c r="CM1825">
        <v>2</v>
      </c>
      <c r="CN1825">
        <v>0</v>
      </c>
      <c r="CO1825">
        <v>7</v>
      </c>
      <c r="CP1825" t="s">
        <v>119</v>
      </c>
      <c r="CQ1825">
        <v>232</v>
      </c>
      <c r="CR1825">
        <v>1</v>
      </c>
      <c r="CW1825">
        <v>15719910</v>
      </c>
      <c r="CY1825">
        <v>1</v>
      </c>
      <c r="CZ1825">
        <v>0</v>
      </c>
      <c r="DA1825">
        <v>1</v>
      </c>
      <c r="DB1825">
        <v>0</v>
      </c>
      <c r="DC1825">
        <v>0</v>
      </c>
      <c r="DD1825">
        <v>1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>"12/16/2021 14:52:29.376"</f>
        <v>12/16/2021 14:52:29.376</v>
      </c>
      <c r="C1826" t="str">
        <f t="shared" si="88"/>
        <v>FFDFD3C0</v>
      </c>
      <c r="D1826" t="s">
        <v>124</v>
      </c>
      <c r="E1826">
        <v>5</v>
      </c>
      <c r="F1826">
        <v>1005</v>
      </c>
      <c r="G1826" t="s">
        <v>114</v>
      </c>
      <c r="J1826" t="s">
        <v>125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>"14:52:29.133"</f>
        <v>14:52:29.133</v>
      </c>
      <c r="T1826" t="str">
        <f>"14:52:28.733"</f>
        <v>14:52:28.733</v>
      </c>
      <c r="U1826" t="str">
        <f t="shared" si="90"/>
        <v>A0F928</v>
      </c>
      <c r="V1826">
        <v>0</v>
      </c>
      <c r="W1826">
        <v>0</v>
      </c>
      <c r="X1826">
        <v>2</v>
      </c>
      <c r="Z1826">
        <v>0</v>
      </c>
      <c r="AA1826">
        <v>9</v>
      </c>
      <c r="AB1826">
        <v>3</v>
      </c>
      <c r="AC1826">
        <v>0</v>
      </c>
      <c r="AD1826">
        <v>10</v>
      </c>
      <c r="AE1826">
        <v>0</v>
      </c>
      <c r="AF1826">
        <v>3</v>
      </c>
      <c r="AG1826">
        <v>2</v>
      </c>
      <c r="AH1826">
        <v>1</v>
      </c>
      <c r="AI1826" t="s">
        <v>971</v>
      </c>
      <c r="AJ1826">
        <v>35.842187000000003</v>
      </c>
      <c r="AK1826" t="s">
        <v>972</v>
      </c>
      <c r="AL1826">
        <v>-83.997559999999993</v>
      </c>
      <c r="AM1826">
        <v>25</v>
      </c>
      <c r="AN1826">
        <v>1600</v>
      </c>
      <c r="AO1826" t="s">
        <v>118</v>
      </c>
      <c r="AP1826">
        <v>87</v>
      </c>
      <c r="AQ1826">
        <v>86</v>
      </c>
      <c r="AR1826">
        <v>-64</v>
      </c>
      <c r="AZ1826">
        <v>300</v>
      </c>
      <c r="BA1826">
        <v>1</v>
      </c>
      <c r="BB1826" t="str">
        <f t="shared" si="89"/>
        <v xml:space="preserve">N162AM  </v>
      </c>
      <c r="BC1826">
        <v>1</v>
      </c>
      <c r="BE1826">
        <v>0</v>
      </c>
      <c r="BF1826">
        <v>0</v>
      </c>
      <c r="BG1826">
        <v>0</v>
      </c>
      <c r="BH1826">
        <v>1850</v>
      </c>
      <c r="BI1826">
        <v>1</v>
      </c>
      <c r="BJ1826">
        <v>1</v>
      </c>
      <c r="BK1826">
        <v>1</v>
      </c>
      <c r="BL1826">
        <v>0</v>
      </c>
      <c r="BO1826">
        <v>0</v>
      </c>
      <c r="BP1826">
        <v>0</v>
      </c>
      <c r="BW1826" t="str">
        <f>"14:52:29.139"</f>
        <v>14:52:29.139</v>
      </c>
      <c r="CJ1826">
        <v>3</v>
      </c>
      <c r="CK1826">
        <v>2</v>
      </c>
      <c r="CL1826">
        <v>0</v>
      </c>
      <c r="CM1826">
        <v>2</v>
      </c>
      <c r="CN1826">
        <v>0</v>
      </c>
      <c r="CO1826">
        <v>1</v>
      </c>
      <c r="CP1826" t="s">
        <v>119</v>
      </c>
      <c r="CQ1826">
        <v>216</v>
      </c>
      <c r="CR1826">
        <v>0</v>
      </c>
      <c r="CW1826">
        <v>1096327</v>
      </c>
      <c r="CY1826">
        <v>1</v>
      </c>
      <c r="CZ1826">
        <v>0</v>
      </c>
      <c r="DA1826">
        <v>0</v>
      </c>
      <c r="DB1826">
        <v>0</v>
      </c>
      <c r="DC1826">
        <v>0</v>
      </c>
      <c r="DD1826">
        <v>1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>"12/16/2021 14:52:29.392"</f>
        <v>12/16/2021 14:52:29.392</v>
      </c>
      <c r="C1827" t="str">
        <f t="shared" si="88"/>
        <v>FFDFD3C0</v>
      </c>
      <c r="D1827" t="s">
        <v>133</v>
      </c>
      <c r="E1827">
        <v>44</v>
      </c>
      <c r="H1827">
        <v>131</v>
      </c>
      <c r="I1827" t="s">
        <v>134</v>
      </c>
      <c r="J1827" t="s">
        <v>135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>"14:52:29.133"</f>
        <v>14:52:29.133</v>
      </c>
      <c r="T1827" t="str">
        <f>"14:52:28.733"</f>
        <v>14:52:28.733</v>
      </c>
      <c r="U1827" t="str">
        <f t="shared" si="90"/>
        <v>A0F928</v>
      </c>
      <c r="V1827">
        <v>0</v>
      </c>
      <c r="W1827">
        <v>0</v>
      </c>
      <c r="X1827">
        <v>2</v>
      </c>
      <c r="Z1827">
        <v>0</v>
      </c>
      <c r="AA1827">
        <v>9</v>
      </c>
      <c r="AB1827">
        <v>3</v>
      </c>
      <c r="AC1827">
        <v>0</v>
      </c>
      <c r="AD1827">
        <v>10</v>
      </c>
      <c r="AE1827">
        <v>0</v>
      </c>
      <c r="AF1827">
        <v>3</v>
      </c>
      <c r="AG1827">
        <v>2</v>
      </c>
      <c r="AH1827">
        <v>1</v>
      </c>
      <c r="AI1827" t="s">
        <v>971</v>
      </c>
      <c r="AJ1827">
        <v>35.842187000000003</v>
      </c>
      <c r="AK1827" t="s">
        <v>972</v>
      </c>
      <c r="AL1827">
        <v>-83.997559999999993</v>
      </c>
      <c r="AM1827">
        <v>25</v>
      </c>
      <c r="AN1827">
        <v>1600</v>
      </c>
      <c r="AO1827" t="s">
        <v>118</v>
      </c>
      <c r="AP1827">
        <v>87</v>
      </c>
      <c r="AQ1827">
        <v>86</v>
      </c>
      <c r="AR1827">
        <v>-64</v>
      </c>
      <c r="AZ1827">
        <v>300</v>
      </c>
      <c r="BA1827">
        <v>1</v>
      </c>
      <c r="BB1827" t="str">
        <f t="shared" si="89"/>
        <v xml:space="preserve">N162AM  </v>
      </c>
      <c r="BC1827">
        <v>1</v>
      </c>
      <c r="BE1827">
        <v>0</v>
      </c>
      <c r="BF1827">
        <v>0</v>
      </c>
      <c r="BG1827">
        <v>0</v>
      </c>
      <c r="BH1827">
        <v>1850</v>
      </c>
      <c r="BI1827">
        <v>1</v>
      </c>
      <c r="BJ1827">
        <v>1</v>
      </c>
      <c r="BK1827">
        <v>1</v>
      </c>
      <c r="BL1827">
        <v>0</v>
      </c>
      <c r="BO1827">
        <v>0</v>
      </c>
      <c r="BP1827">
        <v>0</v>
      </c>
      <c r="BW1827" t="str">
        <f>"14:52:29.139"</f>
        <v>14:52:29.139</v>
      </c>
      <c r="CJ1827">
        <v>3</v>
      </c>
      <c r="CK1827">
        <v>2</v>
      </c>
      <c r="CL1827">
        <v>0</v>
      </c>
      <c r="CM1827">
        <v>2</v>
      </c>
      <c r="CN1827">
        <v>0</v>
      </c>
      <c r="CO1827">
        <v>1</v>
      </c>
      <c r="CP1827" t="s">
        <v>119</v>
      </c>
      <c r="CQ1827">
        <v>216</v>
      </c>
      <c r="CR1827">
        <v>0</v>
      </c>
      <c r="CW1827">
        <v>1096327</v>
      </c>
      <c r="CY1827">
        <v>1</v>
      </c>
      <c r="CZ1827">
        <v>0</v>
      </c>
      <c r="DA1827">
        <v>1</v>
      </c>
      <c r="DB1827">
        <v>0</v>
      </c>
      <c r="DC1827">
        <v>0</v>
      </c>
      <c r="DD1827">
        <v>1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>"12/16/2021 14:52:29.392"</f>
        <v>12/16/2021 14:52:29.392</v>
      </c>
      <c r="C1828" t="str">
        <f t="shared" si="88"/>
        <v>FFDFD3C0</v>
      </c>
      <c r="D1828" t="s">
        <v>113</v>
      </c>
      <c r="E1828">
        <v>8</v>
      </c>
      <c r="H1828">
        <v>176</v>
      </c>
      <c r="I1828" t="s">
        <v>114</v>
      </c>
      <c r="J1828" t="s">
        <v>115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>"14:52:29.133"</f>
        <v>14:52:29.133</v>
      </c>
      <c r="T1828" t="str">
        <f>"14:52:28.733"</f>
        <v>14:52:28.733</v>
      </c>
      <c r="U1828" t="str">
        <f t="shared" si="90"/>
        <v>A0F928</v>
      </c>
      <c r="V1828">
        <v>0</v>
      </c>
      <c r="W1828">
        <v>0</v>
      </c>
      <c r="X1828">
        <v>2</v>
      </c>
      <c r="Z1828">
        <v>0</v>
      </c>
      <c r="AA1828">
        <v>9</v>
      </c>
      <c r="AB1828">
        <v>3</v>
      </c>
      <c r="AC1828">
        <v>0</v>
      </c>
      <c r="AD1828">
        <v>10</v>
      </c>
      <c r="AE1828">
        <v>0</v>
      </c>
      <c r="AF1828">
        <v>3</v>
      </c>
      <c r="AG1828">
        <v>2</v>
      </c>
      <c r="AH1828">
        <v>1</v>
      </c>
      <c r="AI1828" t="s">
        <v>971</v>
      </c>
      <c r="AJ1828">
        <v>35.842187000000003</v>
      </c>
      <c r="AK1828" t="s">
        <v>972</v>
      </c>
      <c r="AL1828">
        <v>-83.997559999999993</v>
      </c>
      <c r="AM1828">
        <v>25</v>
      </c>
      <c r="AN1828">
        <v>1600</v>
      </c>
      <c r="AO1828" t="s">
        <v>118</v>
      </c>
      <c r="AP1828">
        <v>87</v>
      </c>
      <c r="AQ1828">
        <v>86</v>
      </c>
      <c r="AR1828">
        <v>-64</v>
      </c>
      <c r="AZ1828">
        <v>300</v>
      </c>
      <c r="BA1828">
        <v>1</v>
      </c>
      <c r="BB1828" t="str">
        <f t="shared" si="89"/>
        <v xml:space="preserve">N162AM  </v>
      </c>
      <c r="BC1828">
        <v>1</v>
      </c>
      <c r="BE1828">
        <v>0</v>
      </c>
      <c r="BF1828">
        <v>0</v>
      </c>
      <c r="BG1828">
        <v>0</v>
      </c>
      <c r="BH1828">
        <v>1850</v>
      </c>
      <c r="BI1828">
        <v>1</v>
      </c>
      <c r="BJ1828">
        <v>1</v>
      </c>
      <c r="BK1828">
        <v>1</v>
      </c>
      <c r="BL1828">
        <v>0</v>
      </c>
      <c r="BO1828">
        <v>0</v>
      </c>
      <c r="BP1828">
        <v>0</v>
      </c>
      <c r="BW1828" t="str">
        <f>"14:52:29.139"</f>
        <v>14:52:29.139</v>
      </c>
      <c r="CJ1828">
        <v>3</v>
      </c>
      <c r="CK1828">
        <v>2</v>
      </c>
      <c r="CL1828">
        <v>0</v>
      </c>
      <c r="CM1828">
        <v>2</v>
      </c>
      <c r="CN1828">
        <v>0</v>
      </c>
      <c r="CO1828">
        <v>1</v>
      </c>
      <c r="CP1828" t="s">
        <v>119</v>
      </c>
      <c r="CQ1828">
        <v>216</v>
      </c>
      <c r="CR1828">
        <v>0</v>
      </c>
      <c r="CW1828">
        <v>1096327</v>
      </c>
      <c r="CY1828">
        <v>1</v>
      </c>
      <c r="CZ1828">
        <v>0</v>
      </c>
      <c r="DA1828">
        <v>1</v>
      </c>
      <c r="DB1828">
        <v>0</v>
      </c>
      <c r="DC1828">
        <v>0</v>
      </c>
      <c r="DD1828">
        <v>1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>"12/16/2021 14:52:29.392"</f>
        <v>12/16/2021 14:52:29.392</v>
      </c>
      <c r="C1829" t="str">
        <f t="shared" si="88"/>
        <v>FFDFD3C0</v>
      </c>
      <c r="D1829" t="s">
        <v>124</v>
      </c>
      <c r="E1829">
        <v>10</v>
      </c>
      <c r="F1829">
        <v>1010</v>
      </c>
      <c r="G1829" t="s">
        <v>130</v>
      </c>
      <c r="J1829" t="s">
        <v>125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>"14:52:29.133"</f>
        <v>14:52:29.133</v>
      </c>
      <c r="T1829" t="str">
        <f>"14:52:28.733"</f>
        <v>14:52:28.733</v>
      </c>
      <c r="U1829" t="str">
        <f t="shared" si="90"/>
        <v>A0F928</v>
      </c>
      <c r="V1829">
        <v>0</v>
      </c>
      <c r="W1829">
        <v>0</v>
      </c>
      <c r="X1829">
        <v>2</v>
      </c>
      <c r="Z1829">
        <v>0</v>
      </c>
      <c r="AA1829">
        <v>9</v>
      </c>
      <c r="AB1829">
        <v>3</v>
      </c>
      <c r="AC1829">
        <v>0</v>
      </c>
      <c r="AD1829">
        <v>10</v>
      </c>
      <c r="AE1829">
        <v>0</v>
      </c>
      <c r="AF1829">
        <v>3</v>
      </c>
      <c r="AG1829">
        <v>2</v>
      </c>
      <c r="AH1829">
        <v>1</v>
      </c>
      <c r="AI1829" t="s">
        <v>971</v>
      </c>
      <c r="AJ1829">
        <v>35.842187000000003</v>
      </c>
      <c r="AK1829" t="s">
        <v>972</v>
      </c>
      <c r="AL1829">
        <v>-83.997559999999993</v>
      </c>
      <c r="AM1829">
        <v>25</v>
      </c>
      <c r="AN1829">
        <v>1600</v>
      </c>
      <c r="AO1829" t="s">
        <v>118</v>
      </c>
      <c r="AP1829">
        <v>87</v>
      </c>
      <c r="AQ1829">
        <v>86</v>
      </c>
      <c r="AR1829">
        <v>-64</v>
      </c>
      <c r="AZ1829">
        <v>300</v>
      </c>
      <c r="BA1829">
        <v>1</v>
      </c>
      <c r="BB1829" t="str">
        <f t="shared" si="89"/>
        <v xml:space="preserve">N162AM  </v>
      </c>
      <c r="BC1829">
        <v>1</v>
      </c>
      <c r="BE1829">
        <v>0</v>
      </c>
      <c r="BF1829">
        <v>0</v>
      </c>
      <c r="BG1829">
        <v>0</v>
      </c>
      <c r="BH1829">
        <v>1850</v>
      </c>
      <c r="BI1829">
        <v>1</v>
      </c>
      <c r="BJ1829">
        <v>1</v>
      </c>
      <c r="BK1829">
        <v>1</v>
      </c>
      <c r="BL1829">
        <v>0</v>
      </c>
      <c r="BO1829">
        <v>0</v>
      </c>
      <c r="BP1829">
        <v>0</v>
      </c>
      <c r="BW1829" t="str">
        <f>"14:52:29.139"</f>
        <v>14:52:29.139</v>
      </c>
      <c r="CJ1829">
        <v>3</v>
      </c>
      <c r="CK1829">
        <v>2</v>
      </c>
      <c r="CL1829">
        <v>0</v>
      </c>
      <c r="CM1829">
        <v>2</v>
      </c>
      <c r="CN1829">
        <v>0</v>
      </c>
      <c r="CO1829">
        <v>1</v>
      </c>
      <c r="CP1829" t="s">
        <v>119</v>
      </c>
      <c r="CQ1829">
        <v>216</v>
      </c>
      <c r="CR1829">
        <v>0</v>
      </c>
      <c r="CW1829">
        <v>1096327</v>
      </c>
      <c r="CY1829">
        <v>1</v>
      </c>
      <c r="CZ1829">
        <v>0</v>
      </c>
      <c r="DA1829">
        <v>1</v>
      </c>
      <c r="DB1829">
        <v>0</v>
      </c>
      <c r="DC1829">
        <v>0</v>
      </c>
      <c r="DD1829">
        <v>1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>"12/16/2021 14:52:30.399"</f>
        <v>12/16/2021 14:52:30.399</v>
      </c>
      <c r="C1830" t="str">
        <f t="shared" si="88"/>
        <v>FFDFD3C0</v>
      </c>
      <c r="D1830" t="s">
        <v>133</v>
      </c>
      <c r="E1830">
        <v>44</v>
      </c>
      <c r="H1830">
        <v>131</v>
      </c>
      <c r="I1830" t="s">
        <v>134</v>
      </c>
      <c r="J1830" t="s">
        <v>135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>"14:52:30.055"</f>
        <v>14:52:30.055</v>
      </c>
      <c r="T1830" t="str">
        <f>"14:52:29.555"</f>
        <v>14:52:29.555</v>
      </c>
      <c r="U1830" t="str">
        <f t="shared" si="90"/>
        <v>A0F928</v>
      </c>
      <c r="V1830">
        <v>0</v>
      </c>
      <c r="W1830">
        <v>0</v>
      </c>
      <c r="X1830">
        <v>2</v>
      </c>
      <c r="Z1830">
        <v>0</v>
      </c>
      <c r="AA1830">
        <v>9</v>
      </c>
      <c r="AB1830">
        <v>3</v>
      </c>
      <c r="AC1830">
        <v>0</v>
      </c>
      <c r="AD1830">
        <v>10</v>
      </c>
      <c r="AE1830">
        <v>0</v>
      </c>
      <c r="AF1830">
        <v>3</v>
      </c>
      <c r="AG1830">
        <v>2</v>
      </c>
      <c r="AH1830">
        <v>1</v>
      </c>
      <c r="AI1830" t="s">
        <v>973</v>
      </c>
      <c r="AJ1830">
        <v>35.842616999999997</v>
      </c>
      <c r="AK1830" t="s">
        <v>974</v>
      </c>
      <c r="AL1830">
        <v>-83.997086999999993</v>
      </c>
      <c r="AM1830">
        <v>25</v>
      </c>
      <c r="AN1830">
        <v>1600</v>
      </c>
      <c r="AO1830" t="s">
        <v>118</v>
      </c>
      <c r="AP1830">
        <v>87</v>
      </c>
      <c r="AQ1830">
        <v>86</v>
      </c>
      <c r="AR1830">
        <v>0</v>
      </c>
      <c r="AZ1830">
        <v>300</v>
      </c>
      <c r="BA1830">
        <v>1</v>
      </c>
      <c r="BB1830" t="str">
        <f t="shared" si="89"/>
        <v xml:space="preserve">N162AM  </v>
      </c>
      <c r="BC1830">
        <v>1</v>
      </c>
      <c r="BE1830">
        <v>0</v>
      </c>
      <c r="BF1830">
        <v>0</v>
      </c>
      <c r="BG1830">
        <v>0</v>
      </c>
      <c r="BH1830">
        <v>1850</v>
      </c>
      <c r="BI1830">
        <v>1</v>
      </c>
      <c r="BJ1830">
        <v>1</v>
      </c>
      <c r="BK1830">
        <v>1</v>
      </c>
      <c r="BL1830">
        <v>0</v>
      </c>
      <c r="BO1830">
        <v>0</v>
      </c>
      <c r="BP1830">
        <v>0</v>
      </c>
      <c r="BW1830" t="str">
        <f>"14:52:30.061"</f>
        <v>14:52:30.061</v>
      </c>
      <c r="CJ1830">
        <v>3</v>
      </c>
      <c r="CK1830">
        <v>2</v>
      </c>
      <c r="CL1830">
        <v>0</v>
      </c>
      <c r="CM1830">
        <v>2</v>
      </c>
      <c r="CN1830">
        <v>0</v>
      </c>
      <c r="CO1830">
        <v>2</v>
      </c>
      <c r="CP1830" t="s">
        <v>119</v>
      </c>
      <c r="CQ1830">
        <v>216</v>
      </c>
      <c r="CR1830">
        <v>0</v>
      </c>
      <c r="CW1830">
        <v>1097568</v>
      </c>
      <c r="CY1830">
        <v>1</v>
      </c>
      <c r="CZ1830">
        <v>0</v>
      </c>
      <c r="DA1830">
        <v>0</v>
      </c>
      <c r="DB1830">
        <v>0</v>
      </c>
      <c r="DC1830">
        <v>0</v>
      </c>
      <c r="DD1830">
        <v>1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>"12/16/2021 14:52:30.399"</f>
        <v>12/16/2021 14:52:30.399</v>
      </c>
      <c r="C1831" t="str">
        <f t="shared" si="88"/>
        <v>FFDFD3C0</v>
      </c>
      <c r="D1831" t="s">
        <v>113</v>
      </c>
      <c r="E1831">
        <v>8</v>
      </c>
      <c r="H1831">
        <v>176</v>
      </c>
      <c r="I1831" t="s">
        <v>114</v>
      </c>
      <c r="J1831" t="s">
        <v>115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>"14:52:30.055"</f>
        <v>14:52:30.055</v>
      </c>
      <c r="T1831" t="str">
        <f>"14:52:29.555"</f>
        <v>14:52:29.555</v>
      </c>
      <c r="U1831" t="str">
        <f t="shared" si="90"/>
        <v>A0F928</v>
      </c>
      <c r="V1831">
        <v>0</v>
      </c>
      <c r="W1831">
        <v>0</v>
      </c>
      <c r="X1831">
        <v>2</v>
      </c>
      <c r="Z1831">
        <v>0</v>
      </c>
      <c r="AA1831">
        <v>9</v>
      </c>
      <c r="AB1831">
        <v>3</v>
      </c>
      <c r="AC1831">
        <v>0</v>
      </c>
      <c r="AD1831">
        <v>10</v>
      </c>
      <c r="AE1831">
        <v>0</v>
      </c>
      <c r="AF1831">
        <v>3</v>
      </c>
      <c r="AG1831">
        <v>2</v>
      </c>
      <c r="AH1831">
        <v>1</v>
      </c>
      <c r="AI1831" t="s">
        <v>973</v>
      </c>
      <c r="AJ1831">
        <v>35.842616999999997</v>
      </c>
      <c r="AK1831" t="s">
        <v>974</v>
      </c>
      <c r="AL1831">
        <v>-83.997086999999993</v>
      </c>
      <c r="AM1831">
        <v>25</v>
      </c>
      <c r="AN1831">
        <v>1600</v>
      </c>
      <c r="AO1831" t="s">
        <v>118</v>
      </c>
      <c r="AP1831">
        <v>87</v>
      </c>
      <c r="AQ1831">
        <v>86</v>
      </c>
      <c r="AR1831">
        <v>0</v>
      </c>
      <c r="AZ1831">
        <v>300</v>
      </c>
      <c r="BA1831">
        <v>1</v>
      </c>
      <c r="BB1831" t="str">
        <f t="shared" si="89"/>
        <v xml:space="preserve">N162AM  </v>
      </c>
      <c r="BC1831">
        <v>1</v>
      </c>
      <c r="BE1831">
        <v>0</v>
      </c>
      <c r="BF1831">
        <v>0</v>
      </c>
      <c r="BG1831">
        <v>0</v>
      </c>
      <c r="BH1831">
        <v>1850</v>
      </c>
      <c r="BI1831">
        <v>1</v>
      </c>
      <c r="BJ1831">
        <v>1</v>
      </c>
      <c r="BK1831">
        <v>1</v>
      </c>
      <c r="BL1831">
        <v>0</v>
      </c>
      <c r="BO1831">
        <v>0</v>
      </c>
      <c r="BP1831">
        <v>0</v>
      </c>
      <c r="BW1831" t="str">
        <f>"14:52:30.061"</f>
        <v>14:52:30.061</v>
      </c>
      <c r="CJ1831">
        <v>3</v>
      </c>
      <c r="CK1831">
        <v>2</v>
      </c>
      <c r="CL1831">
        <v>0</v>
      </c>
      <c r="CM1831">
        <v>2</v>
      </c>
      <c r="CN1831">
        <v>0</v>
      </c>
      <c r="CO1831">
        <v>2</v>
      </c>
      <c r="CP1831" t="s">
        <v>119</v>
      </c>
      <c r="CQ1831">
        <v>216</v>
      </c>
      <c r="CR1831">
        <v>0</v>
      </c>
      <c r="CW1831">
        <v>1097568</v>
      </c>
      <c r="CY1831">
        <v>1</v>
      </c>
      <c r="CZ1831">
        <v>0</v>
      </c>
      <c r="DA1831">
        <v>1</v>
      </c>
      <c r="DB1831">
        <v>0</v>
      </c>
      <c r="DC1831">
        <v>0</v>
      </c>
      <c r="DD1831">
        <v>1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>"12/16/2021 14:52:30.399"</f>
        <v>12/16/2021 14:52:30.399</v>
      </c>
      <c r="C1832" t="str">
        <f t="shared" si="88"/>
        <v>FFDFD3C0</v>
      </c>
      <c r="D1832" t="s">
        <v>124</v>
      </c>
      <c r="E1832">
        <v>10</v>
      </c>
      <c r="F1832">
        <v>1010</v>
      </c>
      <c r="G1832" t="s">
        <v>130</v>
      </c>
      <c r="J1832" t="s">
        <v>125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>"14:52:30.055"</f>
        <v>14:52:30.055</v>
      </c>
      <c r="T1832" t="str">
        <f>"14:52:29.555"</f>
        <v>14:52:29.555</v>
      </c>
      <c r="U1832" t="str">
        <f t="shared" si="90"/>
        <v>A0F928</v>
      </c>
      <c r="V1832">
        <v>0</v>
      </c>
      <c r="W1832">
        <v>0</v>
      </c>
      <c r="X1832">
        <v>2</v>
      </c>
      <c r="Z1832">
        <v>0</v>
      </c>
      <c r="AA1832">
        <v>9</v>
      </c>
      <c r="AB1832">
        <v>3</v>
      </c>
      <c r="AC1832">
        <v>0</v>
      </c>
      <c r="AD1832">
        <v>10</v>
      </c>
      <c r="AE1832">
        <v>0</v>
      </c>
      <c r="AF1832">
        <v>3</v>
      </c>
      <c r="AG1832">
        <v>2</v>
      </c>
      <c r="AH1832">
        <v>1</v>
      </c>
      <c r="AI1832" t="s">
        <v>973</v>
      </c>
      <c r="AJ1832">
        <v>35.842616999999997</v>
      </c>
      <c r="AK1832" t="s">
        <v>974</v>
      </c>
      <c r="AL1832">
        <v>-83.997086999999993</v>
      </c>
      <c r="AM1832">
        <v>25</v>
      </c>
      <c r="AN1832">
        <v>1600</v>
      </c>
      <c r="AO1832" t="s">
        <v>118</v>
      </c>
      <c r="AP1832">
        <v>87</v>
      </c>
      <c r="AQ1832">
        <v>86</v>
      </c>
      <c r="AR1832">
        <v>0</v>
      </c>
      <c r="AZ1832">
        <v>300</v>
      </c>
      <c r="BA1832">
        <v>1</v>
      </c>
      <c r="BB1832" t="str">
        <f t="shared" si="89"/>
        <v xml:space="preserve">N162AM  </v>
      </c>
      <c r="BC1832">
        <v>1</v>
      </c>
      <c r="BE1832">
        <v>0</v>
      </c>
      <c r="BF1832">
        <v>0</v>
      </c>
      <c r="BG1832">
        <v>0</v>
      </c>
      <c r="BH1832">
        <v>1850</v>
      </c>
      <c r="BI1832">
        <v>1</v>
      </c>
      <c r="BJ1832">
        <v>1</v>
      </c>
      <c r="BK1832">
        <v>1</v>
      </c>
      <c r="BL1832">
        <v>0</v>
      </c>
      <c r="BO1832">
        <v>0</v>
      </c>
      <c r="BP1832">
        <v>0</v>
      </c>
      <c r="BW1832" t="str">
        <f>"14:52:30.061"</f>
        <v>14:52:30.061</v>
      </c>
      <c r="CJ1832">
        <v>3</v>
      </c>
      <c r="CK1832">
        <v>2</v>
      </c>
      <c r="CL1832">
        <v>0</v>
      </c>
      <c r="CM1832">
        <v>2</v>
      </c>
      <c r="CN1832">
        <v>0</v>
      </c>
      <c r="CO1832">
        <v>2</v>
      </c>
      <c r="CP1832" t="s">
        <v>119</v>
      </c>
      <c r="CQ1832">
        <v>216</v>
      </c>
      <c r="CR1832">
        <v>0</v>
      </c>
      <c r="CW1832">
        <v>1097568</v>
      </c>
      <c r="CY1832">
        <v>1</v>
      </c>
      <c r="CZ1832">
        <v>0</v>
      </c>
      <c r="DA1832">
        <v>1</v>
      </c>
      <c r="DB1832">
        <v>0</v>
      </c>
      <c r="DC1832">
        <v>0</v>
      </c>
      <c r="DD1832">
        <v>1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>"12/16/2021 14:52:30.399"</f>
        <v>12/16/2021 14:52:30.399</v>
      </c>
      <c r="C1833" t="str">
        <f t="shared" si="88"/>
        <v>FFDFD3C0</v>
      </c>
      <c r="D1833" t="s">
        <v>124</v>
      </c>
      <c r="E1833">
        <v>5</v>
      </c>
      <c r="F1833">
        <v>1005</v>
      </c>
      <c r="G1833" t="s">
        <v>114</v>
      </c>
      <c r="J1833" t="s">
        <v>125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>"14:52:30.055"</f>
        <v>14:52:30.055</v>
      </c>
      <c r="T1833" t="str">
        <f>"14:52:29.555"</f>
        <v>14:52:29.555</v>
      </c>
      <c r="U1833" t="str">
        <f t="shared" si="90"/>
        <v>A0F928</v>
      </c>
      <c r="V1833">
        <v>0</v>
      </c>
      <c r="W1833">
        <v>0</v>
      </c>
      <c r="X1833">
        <v>2</v>
      </c>
      <c r="Z1833">
        <v>0</v>
      </c>
      <c r="AA1833">
        <v>9</v>
      </c>
      <c r="AB1833">
        <v>3</v>
      </c>
      <c r="AC1833">
        <v>0</v>
      </c>
      <c r="AD1833">
        <v>10</v>
      </c>
      <c r="AE1833">
        <v>0</v>
      </c>
      <c r="AF1833">
        <v>3</v>
      </c>
      <c r="AG1833">
        <v>2</v>
      </c>
      <c r="AH1833">
        <v>1</v>
      </c>
      <c r="AI1833" t="s">
        <v>973</v>
      </c>
      <c r="AJ1833">
        <v>35.842616999999997</v>
      </c>
      <c r="AK1833" t="s">
        <v>974</v>
      </c>
      <c r="AL1833">
        <v>-83.997086999999993</v>
      </c>
      <c r="AM1833">
        <v>25</v>
      </c>
      <c r="AN1833">
        <v>1600</v>
      </c>
      <c r="AO1833" t="s">
        <v>118</v>
      </c>
      <c r="AP1833">
        <v>87</v>
      </c>
      <c r="AQ1833">
        <v>86</v>
      </c>
      <c r="AR1833">
        <v>0</v>
      </c>
      <c r="AZ1833">
        <v>300</v>
      </c>
      <c r="BA1833">
        <v>1</v>
      </c>
      <c r="BB1833" t="str">
        <f t="shared" si="89"/>
        <v xml:space="preserve">N162AM  </v>
      </c>
      <c r="BC1833">
        <v>1</v>
      </c>
      <c r="BE1833">
        <v>0</v>
      </c>
      <c r="BF1833">
        <v>0</v>
      </c>
      <c r="BG1833">
        <v>0</v>
      </c>
      <c r="BH1833">
        <v>1850</v>
      </c>
      <c r="BI1833">
        <v>1</v>
      </c>
      <c r="BJ1833">
        <v>1</v>
      </c>
      <c r="BK1833">
        <v>1</v>
      </c>
      <c r="BL1833">
        <v>0</v>
      </c>
      <c r="BO1833">
        <v>0</v>
      </c>
      <c r="BP1833">
        <v>0</v>
      </c>
      <c r="BW1833" t="str">
        <f>"14:52:30.061"</f>
        <v>14:52:30.061</v>
      </c>
      <c r="CJ1833">
        <v>3</v>
      </c>
      <c r="CK1833">
        <v>2</v>
      </c>
      <c r="CL1833">
        <v>0</v>
      </c>
      <c r="CM1833">
        <v>2</v>
      </c>
      <c r="CN1833">
        <v>0</v>
      </c>
      <c r="CO1833">
        <v>2</v>
      </c>
      <c r="CP1833" t="s">
        <v>119</v>
      </c>
      <c r="CQ1833">
        <v>216</v>
      </c>
      <c r="CR1833">
        <v>0</v>
      </c>
      <c r="CW1833">
        <v>1097568</v>
      </c>
      <c r="CY1833">
        <v>1</v>
      </c>
      <c r="CZ1833">
        <v>0</v>
      </c>
      <c r="DA1833">
        <v>1</v>
      </c>
      <c r="DB1833">
        <v>0</v>
      </c>
      <c r="DC1833">
        <v>0</v>
      </c>
      <c r="DD1833">
        <v>1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>"12/16/2021 14:52:31.837"</f>
        <v>12/16/2021 14:52:31.837</v>
      </c>
      <c r="C1834" t="str">
        <f t="shared" si="88"/>
        <v>FFDFD3C0</v>
      </c>
      <c r="D1834" t="s">
        <v>113</v>
      </c>
      <c r="E1834">
        <v>8</v>
      </c>
      <c r="H1834">
        <v>176</v>
      </c>
      <c r="I1834" t="s">
        <v>114</v>
      </c>
      <c r="J1834" t="s">
        <v>115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>"14:52:31.625"</f>
        <v>14:52:31.625</v>
      </c>
      <c r="T1834" t="str">
        <f>"14:52:31.125"</f>
        <v>14:52:31.125</v>
      </c>
      <c r="U1834" t="str">
        <f t="shared" si="90"/>
        <v>A0F928</v>
      </c>
      <c r="V1834">
        <v>0</v>
      </c>
      <c r="W1834">
        <v>0</v>
      </c>
      <c r="X1834">
        <v>2</v>
      </c>
      <c r="Z1834">
        <v>0</v>
      </c>
      <c r="AA1834">
        <v>9</v>
      </c>
      <c r="AB1834">
        <v>3</v>
      </c>
      <c r="AC1834">
        <v>0</v>
      </c>
      <c r="AD1834">
        <v>10</v>
      </c>
      <c r="AE1834">
        <v>0</v>
      </c>
      <c r="AF1834">
        <v>3</v>
      </c>
      <c r="AG1834">
        <v>2</v>
      </c>
      <c r="AH1834">
        <v>1</v>
      </c>
      <c r="AI1834" t="s">
        <v>975</v>
      </c>
      <c r="AJ1834">
        <v>35.843217000000003</v>
      </c>
      <c r="AK1834" t="s">
        <v>976</v>
      </c>
      <c r="AL1834">
        <v>-83.996314999999996</v>
      </c>
      <c r="AM1834">
        <v>25</v>
      </c>
      <c r="AN1834">
        <v>1575</v>
      </c>
      <c r="AO1834" t="s">
        <v>118</v>
      </c>
      <c r="AP1834">
        <v>87</v>
      </c>
      <c r="AQ1834">
        <v>86</v>
      </c>
      <c r="AR1834">
        <v>-128</v>
      </c>
      <c r="AZ1834">
        <v>300</v>
      </c>
      <c r="BA1834">
        <v>1</v>
      </c>
      <c r="BB1834" t="str">
        <f t="shared" si="89"/>
        <v xml:space="preserve">N162AM  </v>
      </c>
      <c r="BC1834">
        <v>1</v>
      </c>
      <c r="BE1834">
        <v>0</v>
      </c>
      <c r="BF1834">
        <v>0</v>
      </c>
      <c r="BG1834">
        <v>0</v>
      </c>
      <c r="BH1834">
        <v>1850</v>
      </c>
      <c r="BI1834">
        <v>1</v>
      </c>
      <c r="BJ1834">
        <v>1</v>
      </c>
      <c r="BK1834">
        <v>1</v>
      </c>
      <c r="BL1834">
        <v>0</v>
      </c>
      <c r="BO1834">
        <v>0</v>
      </c>
      <c r="BP1834">
        <v>0</v>
      </c>
      <c r="BW1834" t="str">
        <f>"14:52:31.628"</f>
        <v>14:52:31.628</v>
      </c>
      <c r="CJ1834">
        <v>3</v>
      </c>
      <c r="CK1834">
        <v>2</v>
      </c>
      <c r="CL1834">
        <v>0</v>
      </c>
      <c r="CM1834">
        <v>2</v>
      </c>
      <c r="CN1834">
        <v>0</v>
      </c>
      <c r="CO1834">
        <v>7</v>
      </c>
      <c r="CP1834" t="s">
        <v>119</v>
      </c>
      <c r="CQ1834">
        <v>232</v>
      </c>
      <c r="CR1834">
        <v>2</v>
      </c>
      <c r="CW1834">
        <v>6936945</v>
      </c>
      <c r="CY1834">
        <v>1</v>
      </c>
      <c r="CZ1834">
        <v>0</v>
      </c>
      <c r="DA1834">
        <v>0</v>
      </c>
      <c r="DB1834">
        <v>0</v>
      </c>
      <c r="DC1834">
        <v>0</v>
      </c>
      <c r="DD1834">
        <v>1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>"12/16/2021 14:52:31.837"</f>
        <v>12/16/2021 14:52:31.837</v>
      </c>
      <c r="C1835" t="str">
        <f t="shared" si="88"/>
        <v>FFDFD3C0</v>
      </c>
      <c r="D1835" t="s">
        <v>133</v>
      </c>
      <c r="E1835">
        <v>44</v>
      </c>
      <c r="H1835">
        <v>131</v>
      </c>
      <c r="I1835" t="s">
        <v>134</v>
      </c>
      <c r="J1835" t="s">
        <v>135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>"14:52:31.625"</f>
        <v>14:52:31.625</v>
      </c>
      <c r="T1835" t="str">
        <f>"14:52:31.125"</f>
        <v>14:52:31.125</v>
      </c>
      <c r="U1835" t="str">
        <f t="shared" si="90"/>
        <v>A0F928</v>
      </c>
      <c r="V1835">
        <v>0</v>
      </c>
      <c r="W1835">
        <v>0</v>
      </c>
      <c r="X1835">
        <v>2</v>
      </c>
      <c r="Z1835">
        <v>0</v>
      </c>
      <c r="AA1835">
        <v>9</v>
      </c>
      <c r="AB1835">
        <v>3</v>
      </c>
      <c r="AC1835">
        <v>0</v>
      </c>
      <c r="AD1835">
        <v>10</v>
      </c>
      <c r="AE1835">
        <v>0</v>
      </c>
      <c r="AF1835">
        <v>3</v>
      </c>
      <c r="AG1835">
        <v>2</v>
      </c>
      <c r="AH1835">
        <v>1</v>
      </c>
      <c r="AI1835" t="s">
        <v>975</v>
      </c>
      <c r="AJ1835">
        <v>35.843217000000003</v>
      </c>
      <c r="AK1835" t="s">
        <v>976</v>
      </c>
      <c r="AL1835">
        <v>-83.996314999999996</v>
      </c>
      <c r="AM1835">
        <v>25</v>
      </c>
      <c r="AN1835">
        <v>1575</v>
      </c>
      <c r="AO1835" t="s">
        <v>118</v>
      </c>
      <c r="AP1835">
        <v>87</v>
      </c>
      <c r="AQ1835">
        <v>86</v>
      </c>
      <c r="AR1835">
        <v>-128</v>
      </c>
      <c r="AZ1835">
        <v>300</v>
      </c>
      <c r="BA1835">
        <v>1</v>
      </c>
      <c r="BB1835" t="str">
        <f t="shared" si="89"/>
        <v xml:space="preserve">N162AM  </v>
      </c>
      <c r="BC1835">
        <v>1</v>
      </c>
      <c r="BE1835">
        <v>0</v>
      </c>
      <c r="BF1835">
        <v>0</v>
      </c>
      <c r="BG1835">
        <v>0</v>
      </c>
      <c r="BH1835">
        <v>1850</v>
      </c>
      <c r="BI1835">
        <v>1</v>
      </c>
      <c r="BJ1835">
        <v>1</v>
      </c>
      <c r="BK1835">
        <v>1</v>
      </c>
      <c r="BL1835">
        <v>0</v>
      </c>
      <c r="BO1835">
        <v>0</v>
      </c>
      <c r="BP1835">
        <v>0</v>
      </c>
      <c r="BW1835" t="str">
        <f>"14:52:31.628"</f>
        <v>14:52:31.628</v>
      </c>
      <c r="CJ1835">
        <v>3</v>
      </c>
      <c r="CK1835">
        <v>2</v>
      </c>
      <c r="CL1835">
        <v>0</v>
      </c>
      <c r="CM1835">
        <v>2</v>
      </c>
      <c r="CN1835">
        <v>0</v>
      </c>
      <c r="CO1835">
        <v>7</v>
      </c>
      <c r="CP1835" t="s">
        <v>119</v>
      </c>
      <c r="CQ1835">
        <v>232</v>
      </c>
      <c r="CR1835">
        <v>2</v>
      </c>
      <c r="CW1835">
        <v>6936945</v>
      </c>
      <c r="CY1835">
        <v>1</v>
      </c>
      <c r="CZ1835">
        <v>0</v>
      </c>
      <c r="DA1835">
        <v>1</v>
      </c>
      <c r="DB1835">
        <v>0</v>
      </c>
      <c r="DC1835">
        <v>0</v>
      </c>
      <c r="DD1835">
        <v>1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>"12/16/2021 14:52:31.852"</f>
        <v>12/16/2021 14:52:31.852</v>
      </c>
      <c r="C1836" t="str">
        <f t="shared" si="88"/>
        <v>FFDFD3C0</v>
      </c>
      <c r="D1836" t="s">
        <v>124</v>
      </c>
      <c r="E1836">
        <v>10</v>
      </c>
      <c r="F1836">
        <v>1010</v>
      </c>
      <c r="G1836" t="s">
        <v>130</v>
      </c>
      <c r="J1836" t="s">
        <v>125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>"14:52:31.625"</f>
        <v>14:52:31.625</v>
      </c>
      <c r="T1836" t="str">
        <f>"14:52:31.125"</f>
        <v>14:52:31.125</v>
      </c>
      <c r="U1836" t="str">
        <f t="shared" si="90"/>
        <v>A0F928</v>
      </c>
      <c r="V1836">
        <v>0</v>
      </c>
      <c r="W1836">
        <v>0</v>
      </c>
      <c r="X1836">
        <v>2</v>
      </c>
      <c r="Z1836">
        <v>0</v>
      </c>
      <c r="AA1836">
        <v>9</v>
      </c>
      <c r="AB1836">
        <v>3</v>
      </c>
      <c r="AC1836">
        <v>0</v>
      </c>
      <c r="AD1836">
        <v>10</v>
      </c>
      <c r="AE1836">
        <v>0</v>
      </c>
      <c r="AF1836">
        <v>3</v>
      </c>
      <c r="AG1836">
        <v>2</v>
      </c>
      <c r="AH1836">
        <v>1</v>
      </c>
      <c r="AI1836" t="s">
        <v>975</v>
      </c>
      <c r="AJ1836">
        <v>35.843217000000003</v>
      </c>
      <c r="AK1836" t="s">
        <v>976</v>
      </c>
      <c r="AL1836">
        <v>-83.996314999999996</v>
      </c>
      <c r="AM1836">
        <v>25</v>
      </c>
      <c r="AN1836">
        <v>1575</v>
      </c>
      <c r="AO1836" t="s">
        <v>118</v>
      </c>
      <c r="AP1836">
        <v>87</v>
      </c>
      <c r="AQ1836">
        <v>86</v>
      </c>
      <c r="AR1836">
        <v>-128</v>
      </c>
      <c r="AZ1836">
        <v>300</v>
      </c>
      <c r="BA1836">
        <v>1</v>
      </c>
      <c r="BB1836" t="str">
        <f t="shared" si="89"/>
        <v xml:space="preserve">N162AM  </v>
      </c>
      <c r="BC1836">
        <v>1</v>
      </c>
      <c r="BE1836">
        <v>0</v>
      </c>
      <c r="BF1836">
        <v>0</v>
      </c>
      <c r="BG1836">
        <v>0</v>
      </c>
      <c r="BH1836">
        <v>1850</v>
      </c>
      <c r="BI1836">
        <v>1</v>
      </c>
      <c r="BJ1836">
        <v>1</v>
      </c>
      <c r="BK1836">
        <v>1</v>
      </c>
      <c r="BL1836">
        <v>0</v>
      </c>
      <c r="BO1836">
        <v>0</v>
      </c>
      <c r="BP1836">
        <v>0</v>
      </c>
      <c r="BW1836" t="str">
        <f>"14:52:31.628"</f>
        <v>14:52:31.628</v>
      </c>
      <c r="CJ1836">
        <v>3</v>
      </c>
      <c r="CK1836">
        <v>2</v>
      </c>
      <c r="CL1836">
        <v>0</v>
      </c>
      <c r="CM1836">
        <v>2</v>
      </c>
      <c r="CN1836">
        <v>0</v>
      </c>
      <c r="CO1836">
        <v>7</v>
      </c>
      <c r="CP1836" t="s">
        <v>119</v>
      </c>
      <c r="CQ1836">
        <v>232</v>
      </c>
      <c r="CR1836">
        <v>2</v>
      </c>
      <c r="CW1836">
        <v>6936945</v>
      </c>
      <c r="CY1836">
        <v>1</v>
      </c>
      <c r="CZ1836">
        <v>0</v>
      </c>
      <c r="DA1836">
        <v>1</v>
      </c>
      <c r="DB1836">
        <v>0</v>
      </c>
      <c r="DC1836">
        <v>0</v>
      </c>
      <c r="DD1836">
        <v>1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>"12/16/2021 14:52:31.868"</f>
        <v>12/16/2021 14:52:31.868</v>
      </c>
      <c r="C1837" t="str">
        <f t="shared" si="88"/>
        <v>FFDFD3C0</v>
      </c>
      <c r="D1837" t="s">
        <v>124</v>
      </c>
      <c r="E1837">
        <v>5</v>
      </c>
      <c r="F1837">
        <v>1005</v>
      </c>
      <c r="G1837" t="s">
        <v>114</v>
      </c>
      <c r="J1837" t="s">
        <v>125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>"14:52:31.625"</f>
        <v>14:52:31.625</v>
      </c>
      <c r="T1837" t="str">
        <f>"14:52:31.125"</f>
        <v>14:52:31.125</v>
      </c>
      <c r="U1837" t="str">
        <f t="shared" si="90"/>
        <v>A0F928</v>
      </c>
      <c r="V1837">
        <v>0</v>
      </c>
      <c r="W1837">
        <v>0</v>
      </c>
      <c r="X1837">
        <v>2</v>
      </c>
      <c r="Z1837">
        <v>0</v>
      </c>
      <c r="AA1837">
        <v>9</v>
      </c>
      <c r="AB1837">
        <v>3</v>
      </c>
      <c r="AC1837">
        <v>0</v>
      </c>
      <c r="AD1837">
        <v>10</v>
      </c>
      <c r="AE1837">
        <v>0</v>
      </c>
      <c r="AF1837">
        <v>3</v>
      </c>
      <c r="AG1837">
        <v>2</v>
      </c>
      <c r="AH1837">
        <v>1</v>
      </c>
      <c r="AI1837" t="s">
        <v>975</v>
      </c>
      <c r="AJ1837">
        <v>35.843217000000003</v>
      </c>
      <c r="AK1837" t="s">
        <v>976</v>
      </c>
      <c r="AL1837">
        <v>-83.996314999999996</v>
      </c>
      <c r="AM1837">
        <v>25</v>
      </c>
      <c r="AN1837">
        <v>1575</v>
      </c>
      <c r="AO1837" t="s">
        <v>118</v>
      </c>
      <c r="AP1837">
        <v>87</v>
      </c>
      <c r="AQ1837">
        <v>86</v>
      </c>
      <c r="AR1837">
        <v>-128</v>
      </c>
      <c r="AZ1837">
        <v>300</v>
      </c>
      <c r="BA1837">
        <v>1</v>
      </c>
      <c r="BB1837" t="str">
        <f t="shared" si="89"/>
        <v xml:space="preserve">N162AM  </v>
      </c>
      <c r="BC1837">
        <v>1</v>
      </c>
      <c r="BE1837">
        <v>0</v>
      </c>
      <c r="BF1837">
        <v>0</v>
      </c>
      <c r="BG1837">
        <v>0</v>
      </c>
      <c r="BH1837">
        <v>1850</v>
      </c>
      <c r="BI1837">
        <v>1</v>
      </c>
      <c r="BJ1837">
        <v>1</v>
      </c>
      <c r="BK1837">
        <v>1</v>
      </c>
      <c r="BL1837">
        <v>0</v>
      </c>
      <c r="BO1837">
        <v>0</v>
      </c>
      <c r="BP1837">
        <v>0</v>
      </c>
      <c r="BW1837" t="str">
        <f>"14:52:31.628"</f>
        <v>14:52:31.628</v>
      </c>
      <c r="CJ1837">
        <v>3</v>
      </c>
      <c r="CK1837">
        <v>2</v>
      </c>
      <c r="CL1837">
        <v>0</v>
      </c>
      <c r="CM1837">
        <v>2</v>
      </c>
      <c r="CN1837">
        <v>0</v>
      </c>
      <c r="CO1837">
        <v>7</v>
      </c>
      <c r="CP1837" t="s">
        <v>119</v>
      </c>
      <c r="CQ1837">
        <v>232</v>
      </c>
      <c r="CR1837">
        <v>2</v>
      </c>
      <c r="CW1837">
        <v>6936945</v>
      </c>
      <c r="CY1837">
        <v>1</v>
      </c>
      <c r="CZ1837">
        <v>0</v>
      </c>
      <c r="DA1837">
        <v>1</v>
      </c>
      <c r="DB1837">
        <v>0</v>
      </c>
      <c r="DC1837">
        <v>0</v>
      </c>
      <c r="DD1837">
        <v>1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>"12/16/2021 14:52:32.915"</f>
        <v>12/16/2021 14:52:32.915</v>
      </c>
      <c r="C1838" t="str">
        <f t="shared" ref="C1838:C1901" si="91">"FFDFD3C0"</f>
        <v>FFDFD3C0</v>
      </c>
      <c r="D1838" t="s">
        <v>113</v>
      </c>
      <c r="E1838">
        <v>8</v>
      </c>
      <c r="H1838">
        <v>176</v>
      </c>
      <c r="I1838" t="s">
        <v>114</v>
      </c>
      <c r="J1838" t="s">
        <v>115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>"14:52:32.695"</f>
        <v>14:52:32.695</v>
      </c>
      <c r="T1838" t="str">
        <f>"14:52:32.195"</f>
        <v>14:52:32.195</v>
      </c>
      <c r="U1838" t="str">
        <f t="shared" si="90"/>
        <v>A0F928</v>
      </c>
      <c r="V1838">
        <v>0</v>
      </c>
      <c r="W1838">
        <v>0</v>
      </c>
      <c r="X1838">
        <v>2</v>
      </c>
      <c r="Z1838">
        <v>0</v>
      </c>
      <c r="AA1838">
        <v>9</v>
      </c>
      <c r="AB1838">
        <v>3</v>
      </c>
      <c r="AC1838">
        <v>0</v>
      </c>
      <c r="AD1838">
        <v>10</v>
      </c>
      <c r="AE1838">
        <v>0</v>
      </c>
      <c r="AF1838">
        <v>3</v>
      </c>
      <c r="AG1838">
        <v>2</v>
      </c>
      <c r="AH1838">
        <v>1</v>
      </c>
      <c r="AI1838" t="s">
        <v>977</v>
      </c>
      <c r="AJ1838">
        <v>35.843646999999997</v>
      </c>
      <c r="AK1838" t="s">
        <v>978</v>
      </c>
      <c r="AL1838">
        <v>-83.995800000000003</v>
      </c>
      <c r="AM1838">
        <v>25</v>
      </c>
      <c r="AN1838">
        <v>1575</v>
      </c>
      <c r="AO1838" t="s">
        <v>118</v>
      </c>
      <c r="AP1838">
        <v>86</v>
      </c>
      <c r="AQ1838">
        <v>86</v>
      </c>
      <c r="AR1838">
        <v>-64</v>
      </c>
      <c r="AZ1838">
        <v>300</v>
      </c>
      <c r="BA1838">
        <v>1</v>
      </c>
      <c r="BB1838" t="str">
        <f t="shared" ref="BB1838:BB1901" si="92">"N162AM  "</f>
        <v xml:space="preserve">N162AM  </v>
      </c>
      <c r="BC1838">
        <v>1</v>
      </c>
      <c r="BE1838">
        <v>0</v>
      </c>
      <c r="BF1838">
        <v>0</v>
      </c>
      <c r="BG1838">
        <v>0</v>
      </c>
      <c r="BH1838">
        <v>1825</v>
      </c>
      <c r="BI1838">
        <v>1</v>
      </c>
      <c r="BJ1838">
        <v>1</v>
      </c>
      <c r="BK1838">
        <v>1</v>
      </c>
      <c r="BL1838">
        <v>0</v>
      </c>
      <c r="BO1838">
        <v>0</v>
      </c>
      <c r="BP1838">
        <v>0</v>
      </c>
      <c r="BW1838" t="str">
        <f>"14:52:32.702"</f>
        <v>14:52:32.702</v>
      </c>
      <c r="CJ1838">
        <v>3</v>
      </c>
      <c r="CK1838">
        <v>2</v>
      </c>
      <c r="CL1838">
        <v>0</v>
      </c>
      <c r="CM1838">
        <v>2</v>
      </c>
      <c r="CN1838">
        <v>0</v>
      </c>
      <c r="CO1838">
        <v>6</v>
      </c>
      <c r="CP1838" t="s">
        <v>119</v>
      </c>
      <c r="CQ1838">
        <v>232</v>
      </c>
      <c r="CR1838">
        <v>2</v>
      </c>
      <c r="CW1838">
        <v>6938638</v>
      </c>
      <c r="CY1838">
        <v>1</v>
      </c>
      <c r="CZ1838">
        <v>0</v>
      </c>
      <c r="DA1838">
        <v>0</v>
      </c>
      <c r="DB1838">
        <v>0</v>
      </c>
      <c r="DC1838">
        <v>0</v>
      </c>
      <c r="DD1838">
        <v>1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>"12/16/2021 14:52:32.915"</f>
        <v>12/16/2021 14:52:32.915</v>
      </c>
      <c r="C1839" t="str">
        <f t="shared" si="91"/>
        <v>FFDFD3C0</v>
      </c>
      <c r="D1839" t="s">
        <v>124</v>
      </c>
      <c r="E1839">
        <v>10</v>
      </c>
      <c r="F1839">
        <v>1010</v>
      </c>
      <c r="G1839" t="s">
        <v>130</v>
      </c>
      <c r="J1839" t="s">
        <v>125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>"14:52:32.695"</f>
        <v>14:52:32.695</v>
      </c>
      <c r="T1839" t="str">
        <f>"14:52:32.195"</f>
        <v>14:52:32.195</v>
      </c>
      <c r="U1839" t="str">
        <f t="shared" si="90"/>
        <v>A0F928</v>
      </c>
      <c r="V1839">
        <v>0</v>
      </c>
      <c r="W1839">
        <v>0</v>
      </c>
      <c r="X1839">
        <v>2</v>
      </c>
      <c r="Z1839">
        <v>0</v>
      </c>
      <c r="AA1839">
        <v>9</v>
      </c>
      <c r="AB1839">
        <v>3</v>
      </c>
      <c r="AC1839">
        <v>0</v>
      </c>
      <c r="AD1839">
        <v>10</v>
      </c>
      <c r="AE1839">
        <v>0</v>
      </c>
      <c r="AF1839">
        <v>3</v>
      </c>
      <c r="AG1839">
        <v>2</v>
      </c>
      <c r="AH1839">
        <v>1</v>
      </c>
      <c r="AI1839" t="s">
        <v>977</v>
      </c>
      <c r="AJ1839">
        <v>35.843646999999997</v>
      </c>
      <c r="AK1839" t="s">
        <v>978</v>
      </c>
      <c r="AL1839">
        <v>-83.995800000000003</v>
      </c>
      <c r="AM1839">
        <v>25</v>
      </c>
      <c r="AN1839">
        <v>1575</v>
      </c>
      <c r="AO1839" t="s">
        <v>118</v>
      </c>
      <c r="AP1839">
        <v>86</v>
      </c>
      <c r="AQ1839">
        <v>86</v>
      </c>
      <c r="AR1839">
        <v>-64</v>
      </c>
      <c r="AZ1839">
        <v>300</v>
      </c>
      <c r="BA1839">
        <v>1</v>
      </c>
      <c r="BB1839" t="str">
        <f t="shared" si="92"/>
        <v xml:space="preserve">N162AM  </v>
      </c>
      <c r="BC1839">
        <v>1</v>
      </c>
      <c r="BE1839">
        <v>0</v>
      </c>
      <c r="BF1839">
        <v>0</v>
      </c>
      <c r="BG1839">
        <v>0</v>
      </c>
      <c r="BH1839">
        <v>1825</v>
      </c>
      <c r="BI1839">
        <v>1</v>
      </c>
      <c r="BJ1839">
        <v>1</v>
      </c>
      <c r="BK1839">
        <v>1</v>
      </c>
      <c r="BL1839">
        <v>0</v>
      </c>
      <c r="BO1839">
        <v>0</v>
      </c>
      <c r="BP1839">
        <v>0</v>
      </c>
      <c r="BW1839" t="str">
        <f>"14:52:32.702"</f>
        <v>14:52:32.702</v>
      </c>
      <c r="CJ1839">
        <v>3</v>
      </c>
      <c r="CK1839">
        <v>2</v>
      </c>
      <c r="CL1839">
        <v>0</v>
      </c>
      <c r="CM1839">
        <v>2</v>
      </c>
      <c r="CN1839">
        <v>0</v>
      </c>
      <c r="CO1839">
        <v>6</v>
      </c>
      <c r="CP1839" t="s">
        <v>119</v>
      </c>
      <c r="CQ1839">
        <v>232</v>
      </c>
      <c r="CR1839">
        <v>2</v>
      </c>
      <c r="CW1839">
        <v>6938638</v>
      </c>
      <c r="CY1839">
        <v>1</v>
      </c>
      <c r="CZ1839">
        <v>0</v>
      </c>
      <c r="DA1839">
        <v>1</v>
      </c>
      <c r="DB1839">
        <v>0</v>
      </c>
      <c r="DC1839">
        <v>0</v>
      </c>
      <c r="DD1839">
        <v>1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>"12/16/2021 14:52:32.915"</f>
        <v>12/16/2021 14:52:32.915</v>
      </c>
      <c r="C1840" t="str">
        <f t="shared" si="91"/>
        <v>FFDFD3C0</v>
      </c>
      <c r="D1840" t="s">
        <v>133</v>
      </c>
      <c r="E1840">
        <v>44</v>
      </c>
      <c r="H1840">
        <v>131</v>
      </c>
      <c r="I1840" t="s">
        <v>134</v>
      </c>
      <c r="J1840" t="s">
        <v>135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>"14:52:32.695"</f>
        <v>14:52:32.695</v>
      </c>
      <c r="T1840" t="str">
        <f>"14:52:32.195"</f>
        <v>14:52:32.195</v>
      </c>
      <c r="U1840" t="str">
        <f t="shared" si="90"/>
        <v>A0F928</v>
      </c>
      <c r="V1840">
        <v>0</v>
      </c>
      <c r="W1840">
        <v>0</v>
      </c>
      <c r="X1840">
        <v>2</v>
      </c>
      <c r="Z1840">
        <v>0</v>
      </c>
      <c r="AA1840">
        <v>9</v>
      </c>
      <c r="AB1840">
        <v>3</v>
      </c>
      <c r="AC1840">
        <v>0</v>
      </c>
      <c r="AD1840">
        <v>10</v>
      </c>
      <c r="AE1840">
        <v>0</v>
      </c>
      <c r="AF1840">
        <v>3</v>
      </c>
      <c r="AG1840">
        <v>2</v>
      </c>
      <c r="AH1840">
        <v>1</v>
      </c>
      <c r="AI1840" t="s">
        <v>977</v>
      </c>
      <c r="AJ1840">
        <v>35.843646999999997</v>
      </c>
      <c r="AK1840" t="s">
        <v>978</v>
      </c>
      <c r="AL1840">
        <v>-83.995800000000003</v>
      </c>
      <c r="AM1840">
        <v>25</v>
      </c>
      <c r="AN1840">
        <v>1575</v>
      </c>
      <c r="AO1840" t="s">
        <v>118</v>
      </c>
      <c r="AP1840">
        <v>86</v>
      </c>
      <c r="AQ1840">
        <v>86</v>
      </c>
      <c r="AR1840">
        <v>-64</v>
      </c>
      <c r="AZ1840">
        <v>300</v>
      </c>
      <c r="BA1840">
        <v>1</v>
      </c>
      <c r="BB1840" t="str">
        <f t="shared" si="92"/>
        <v xml:space="preserve">N162AM  </v>
      </c>
      <c r="BC1840">
        <v>1</v>
      </c>
      <c r="BE1840">
        <v>0</v>
      </c>
      <c r="BF1840">
        <v>0</v>
      </c>
      <c r="BG1840">
        <v>0</v>
      </c>
      <c r="BH1840">
        <v>1825</v>
      </c>
      <c r="BI1840">
        <v>1</v>
      </c>
      <c r="BJ1840">
        <v>1</v>
      </c>
      <c r="BK1840">
        <v>1</v>
      </c>
      <c r="BL1840">
        <v>0</v>
      </c>
      <c r="BO1840">
        <v>0</v>
      </c>
      <c r="BP1840">
        <v>0</v>
      </c>
      <c r="BW1840" t="str">
        <f>"14:52:32.702"</f>
        <v>14:52:32.702</v>
      </c>
      <c r="CJ1840">
        <v>3</v>
      </c>
      <c r="CK1840">
        <v>2</v>
      </c>
      <c r="CL1840">
        <v>0</v>
      </c>
      <c r="CM1840">
        <v>2</v>
      </c>
      <c r="CN1840">
        <v>0</v>
      </c>
      <c r="CO1840">
        <v>6</v>
      </c>
      <c r="CP1840" t="s">
        <v>119</v>
      </c>
      <c r="CQ1840">
        <v>232</v>
      </c>
      <c r="CR1840">
        <v>2</v>
      </c>
      <c r="CW1840">
        <v>6938638</v>
      </c>
      <c r="CY1840">
        <v>1</v>
      </c>
      <c r="CZ1840">
        <v>0</v>
      </c>
      <c r="DA1840">
        <v>1</v>
      </c>
      <c r="DB1840">
        <v>0</v>
      </c>
      <c r="DC1840">
        <v>0</v>
      </c>
      <c r="DD1840">
        <v>1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>"12/16/2021 14:52:32.915"</f>
        <v>12/16/2021 14:52:32.915</v>
      </c>
      <c r="C1841" t="str">
        <f t="shared" si="91"/>
        <v>FFDFD3C0</v>
      </c>
      <c r="D1841" t="s">
        <v>124</v>
      </c>
      <c r="E1841">
        <v>5</v>
      </c>
      <c r="F1841">
        <v>1005</v>
      </c>
      <c r="G1841" t="s">
        <v>114</v>
      </c>
      <c r="J1841" t="s">
        <v>125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>"14:52:32.695"</f>
        <v>14:52:32.695</v>
      </c>
      <c r="T1841" t="str">
        <f>"14:52:32.195"</f>
        <v>14:52:32.195</v>
      </c>
      <c r="U1841" t="str">
        <f t="shared" si="90"/>
        <v>A0F928</v>
      </c>
      <c r="V1841">
        <v>0</v>
      </c>
      <c r="W1841">
        <v>0</v>
      </c>
      <c r="X1841">
        <v>2</v>
      </c>
      <c r="Z1841">
        <v>0</v>
      </c>
      <c r="AA1841">
        <v>9</v>
      </c>
      <c r="AB1841">
        <v>3</v>
      </c>
      <c r="AC1841">
        <v>0</v>
      </c>
      <c r="AD1841">
        <v>10</v>
      </c>
      <c r="AE1841">
        <v>0</v>
      </c>
      <c r="AF1841">
        <v>3</v>
      </c>
      <c r="AG1841">
        <v>2</v>
      </c>
      <c r="AH1841">
        <v>1</v>
      </c>
      <c r="AI1841" t="s">
        <v>977</v>
      </c>
      <c r="AJ1841">
        <v>35.843646999999997</v>
      </c>
      <c r="AK1841" t="s">
        <v>978</v>
      </c>
      <c r="AL1841">
        <v>-83.995800000000003</v>
      </c>
      <c r="AM1841">
        <v>25</v>
      </c>
      <c r="AN1841">
        <v>1575</v>
      </c>
      <c r="AO1841" t="s">
        <v>118</v>
      </c>
      <c r="AP1841">
        <v>86</v>
      </c>
      <c r="AQ1841">
        <v>86</v>
      </c>
      <c r="AR1841">
        <v>-64</v>
      </c>
      <c r="AZ1841">
        <v>300</v>
      </c>
      <c r="BA1841">
        <v>1</v>
      </c>
      <c r="BB1841" t="str">
        <f t="shared" si="92"/>
        <v xml:space="preserve">N162AM  </v>
      </c>
      <c r="BC1841">
        <v>1</v>
      </c>
      <c r="BE1841">
        <v>0</v>
      </c>
      <c r="BF1841">
        <v>0</v>
      </c>
      <c r="BG1841">
        <v>0</v>
      </c>
      <c r="BH1841">
        <v>1825</v>
      </c>
      <c r="BI1841">
        <v>1</v>
      </c>
      <c r="BJ1841">
        <v>1</v>
      </c>
      <c r="BK1841">
        <v>1</v>
      </c>
      <c r="BL1841">
        <v>0</v>
      </c>
      <c r="BO1841">
        <v>0</v>
      </c>
      <c r="BP1841">
        <v>0</v>
      </c>
      <c r="BW1841" t="str">
        <f>"14:52:32.702"</f>
        <v>14:52:32.702</v>
      </c>
      <c r="CJ1841">
        <v>3</v>
      </c>
      <c r="CK1841">
        <v>2</v>
      </c>
      <c r="CL1841">
        <v>0</v>
      </c>
      <c r="CM1841">
        <v>2</v>
      </c>
      <c r="CN1841">
        <v>0</v>
      </c>
      <c r="CO1841">
        <v>6</v>
      </c>
      <c r="CP1841" t="s">
        <v>119</v>
      </c>
      <c r="CQ1841">
        <v>232</v>
      </c>
      <c r="CR1841">
        <v>2</v>
      </c>
      <c r="CW1841">
        <v>6938638</v>
      </c>
      <c r="CY1841">
        <v>1</v>
      </c>
      <c r="CZ1841">
        <v>0</v>
      </c>
      <c r="DA1841">
        <v>1</v>
      </c>
      <c r="DB1841">
        <v>0</v>
      </c>
      <c r="DC1841">
        <v>0</v>
      </c>
      <c r="DD1841">
        <v>1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>"12/16/2021 14:52:33.869"</f>
        <v>12/16/2021 14:52:33.869</v>
      </c>
      <c r="C1842" t="str">
        <f t="shared" si="91"/>
        <v>FFDFD3C0</v>
      </c>
      <c r="D1842" t="s">
        <v>124</v>
      </c>
      <c r="E1842">
        <v>10</v>
      </c>
      <c r="F1842">
        <v>1010</v>
      </c>
      <c r="G1842" t="s">
        <v>130</v>
      </c>
      <c r="J1842" t="s">
        <v>125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>"14:52:33.672"</f>
        <v>14:52:33.672</v>
      </c>
      <c r="T1842" t="str">
        <f>"14:52:33.172"</f>
        <v>14:52:33.172</v>
      </c>
      <c r="U1842" t="str">
        <f t="shared" si="90"/>
        <v>A0F928</v>
      </c>
      <c r="V1842">
        <v>0</v>
      </c>
      <c r="W1842">
        <v>0</v>
      </c>
      <c r="X1842">
        <v>2</v>
      </c>
      <c r="Z1842">
        <v>0</v>
      </c>
      <c r="AA1842">
        <v>9</v>
      </c>
      <c r="AB1842">
        <v>3</v>
      </c>
      <c r="AC1842">
        <v>0</v>
      </c>
      <c r="AD1842">
        <v>10</v>
      </c>
      <c r="AE1842">
        <v>0</v>
      </c>
      <c r="AF1842">
        <v>3</v>
      </c>
      <c r="AG1842">
        <v>2</v>
      </c>
      <c r="AH1842">
        <v>1</v>
      </c>
      <c r="AI1842" t="s">
        <v>979</v>
      </c>
      <c r="AJ1842">
        <v>35.844011000000002</v>
      </c>
      <c r="AK1842" t="s">
        <v>980</v>
      </c>
      <c r="AL1842">
        <v>-83.995328000000001</v>
      </c>
      <c r="AM1842">
        <v>25</v>
      </c>
      <c r="AN1842">
        <v>1575</v>
      </c>
      <c r="AO1842" t="s">
        <v>118</v>
      </c>
      <c r="AP1842">
        <v>85</v>
      </c>
      <c r="AQ1842">
        <v>87</v>
      </c>
      <c r="AR1842">
        <v>-128</v>
      </c>
      <c r="AZ1842">
        <v>300</v>
      </c>
      <c r="BA1842">
        <v>1</v>
      </c>
      <c r="BB1842" t="str">
        <f t="shared" si="92"/>
        <v xml:space="preserve">N162AM  </v>
      </c>
      <c r="BC1842">
        <v>1</v>
      </c>
      <c r="BE1842">
        <v>0</v>
      </c>
      <c r="BF1842">
        <v>0</v>
      </c>
      <c r="BG1842">
        <v>0</v>
      </c>
      <c r="BH1842">
        <v>1825</v>
      </c>
      <c r="BI1842">
        <v>1</v>
      </c>
      <c r="BJ1842">
        <v>1</v>
      </c>
      <c r="BK1842">
        <v>1</v>
      </c>
      <c r="BL1842">
        <v>0</v>
      </c>
      <c r="BO1842">
        <v>0</v>
      </c>
      <c r="BP1842">
        <v>0</v>
      </c>
      <c r="BW1842" t="str">
        <f>"14:52:33.676"</f>
        <v>14:52:33.676</v>
      </c>
      <c r="CJ1842">
        <v>3</v>
      </c>
      <c r="CK1842">
        <v>2</v>
      </c>
      <c r="CL1842">
        <v>0</v>
      </c>
      <c r="CM1842">
        <v>2</v>
      </c>
      <c r="CN1842">
        <v>0</v>
      </c>
      <c r="CO1842">
        <v>7</v>
      </c>
      <c r="CP1842" t="s">
        <v>119</v>
      </c>
      <c r="CQ1842">
        <v>232</v>
      </c>
      <c r="CR1842">
        <v>2</v>
      </c>
      <c r="CW1842">
        <v>6940056</v>
      </c>
      <c r="CY1842">
        <v>1</v>
      </c>
      <c r="CZ1842">
        <v>0</v>
      </c>
      <c r="DA1842">
        <v>0</v>
      </c>
      <c r="DB1842">
        <v>0</v>
      </c>
      <c r="DC1842">
        <v>0</v>
      </c>
      <c r="DD1842">
        <v>1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>"12/16/2021 14:52:33.869"</f>
        <v>12/16/2021 14:52:33.869</v>
      </c>
      <c r="C1843" t="str">
        <f t="shared" si="91"/>
        <v>FFDFD3C0</v>
      </c>
      <c r="D1843" t="s">
        <v>113</v>
      </c>
      <c r="E1843">
        <v>8</v>
      </c>
      <c r="H1843">
        <v>176</v>
      </c>
      <c r="I1843" t="s">
        <v>114</v>
      </c>
      <c r="J1843" t="s">
        <v>115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>"14:52:33.672"</f>
        <v>14:52:33.672</v>
      </c>
      <c r="T1843" t="str">
        <f>"14:52:33.172"</f>
        <v>14:52:33.172</v>
      </c>
      <c r="U1843" t="str">
        <f t="shared" si="90"/>
        <v>A0F928</v>
      </c>
      <c r="V1843">
        <v>0</v>
      </c>
      <c r="W1843">
        <v>0</v>
      </c>
      <c r="X1843">
        <v>2</v>
      </c>
      <c r="Z1843">
        <v>0</v>
      </c>
      <c r="AA1843">
        <v>9</v>
      </c>
      <c r="AB1843">
        <v>3</v>
      </c>
      <c r="AC1843">
        <v>0</v>
      </c>
      <c r="AD1843">
        <v>10</v>
      </c>
      <c r="AE1843">
        <v>0</v>
      </c>
      <c r="AF1843">
        <v>3</v>
      </c>
      <c r="AG1843">
        <v>2</v>
      </c>
      <c r="AH1843">
        <v>1</v>
      </c>
      <c r="AI1843" t="s">
        <v>979</v>
      </c>
      <c r="AJ1843">
        <v>35.844011000000002</v>
      </c>
      <c r="AK1843" t="s">
        <v>980</v>
      </c>
      <c r="AL1843">
        <v>-83.995328000000001</v>
      </c>
      <c r="AM1843">
        <v>25</v>
      </c>
      <c r="AN1843">
        <v>1575</v>
      </c>
      <c r="AO1843" t="s">
        <v>118</v>
      </c>
      <c r="AP1843">
        <v>85</v>
      </c>
      <c r="AQ1843">
        <v>87</v>
      </c>
      <c r="AR1843">
        <v>-128</v>
      </c>
      <c r="AZ1843">
        <v>300</v>
      </c>
      <c r="BA1843">
        <v>1</v>
      </c>
      <c r="BB1843" t="str">
        <f t="shared" si="92"/>
        <v xml:space="preserve">N162AM  </v>
      </c>
      <c r="BC1843">
        <v>1</v>
      </c>
      <c r="BE1843">
        <v>0</v>
      </c>
      <c r="BF1843">
        <v>0</v>
      </c>
      <c r="BG1843">
        <v>0</v>
      </c>
      <c r="BH1843">
        <v>1825</v>
      </c>
      <c r="BI1843">
        <v>1</v>
      </c>
      <c r="BJ1843">
        <v>1</v>
      </c>
      <c r="BK1843">
        <v>1</v>
      </c>
      <c r="BL1843">
        <v>0</v>
      </c>
      <c r="BO1843">
        <v>0</v>
      </c>
      <c r="BP1843">
        <v>0</v>
      </c>
      <c r="BW1843" t="str">
        <f>"14:52:33.676"</f>
        <v>14:52:33.676</v>
      </c>
      <c r="CJ1843">
        <v>3</v>
      </c>
      <c r="CK1843">
        <v>2</v>
      </c>
      <c r="CL1843">
        <v>0</v>
      </c>
      <c r="CM1843">
        <v>2</v>
      </c>
      <c r="CN1843">
        <v>0</v>
      </c>
      <c r="CO1843">
        <v>7</v>
      </c>
      <c r="CP1843" t="s">
        <v>119</v>
      </c>
      <c r="CQ1843">
        <v>232</v>
      </c>
      <c r="CR1843">
        <v>2</v>
      </c>
      <c r="CW1843">
        <v>6940056</v>
      </c>
      <c r="CY1843">
        <v>1</v>
      </c>
      <c r="CZ1843">
        <v>0</v>
      </c>
      <c r="DA1843">
        <v>1</v>
      </c>
      <c r="DB1843">
        <v>0</v>
      </c>
      <c r="DC1843">
        <v>0</v>
      </c>
      <c r="DD1843">
        <v>1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>"12/16/2021 14:52:33.869"</f>
        <v>12/16/2021 14:52:33.869</v>
      </c>
      <c r="C1844" t="str">
        <f t="shared" si="91"/>
        <v>FFDFD3C0</v>
      </c>
      <c r="D1844" t="s">
        <v>133</v>
      </c>
      <c r="E1844">
        <v>44</v>
      </c>
      <c r="H1844">
        <v>131</v>
      </c>
      <c r="I1844" t="s">
        <v>134</v>
      </c>
      <c r="J1844" t="s">
        <v>135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>"14:52:33.672"</f>
        <v>14:52:33.672</v>
      </c>
      <c r="T1844" t="str">
        <f>"14:52:33.172"</f>
        <v>14:52:33.172</v>
      </c>
      <c r="U1844" t="str">
        <f t="shared" si="90"/>
        <v>A0F928</v>
      </c>
      <c r="V1844">
        <v>0</v>
      </c>
      <c r="W1844">
        <v>0</v>
      </c>
      <c r="X1844">
        <v>2</v>
      </c>
      <c r="Z1844">
        <v>0</v>
      </c>
      <c r="AA1844">
        <v>9</v>
      </c>
      <c r="AB1844">
        <v>3</v>
      </c>
      <c r="AC1844">
        <v>0</v>
      </c>
      <c r="AD1844">
        <v>10</v>
      </c>
      <c r="AE1844">
        <v>0</v>
      </c>
      <c r="AF1844">
        <v>3</v>
      </c>
      <c r="AG1844">
        <v>2</v>
      </c>
      <c r="AH1844">
        <v>1</v>
      </c>
      <c r="AI1844" t="s">
        <v>979</v>
      </c>
      <c r="AJ1844">
        <v>35.844011000000002</v>
      </c>
      <c r="AK1844" t="s">
        <v>980</v>
      </c>
      <c r="AL1844">
        <v>-83.995328000000001</v>
      </c>
      <c r="AM1844">
        <v>25</v>
      </c>
      <c r="AN1844">
        <v>1575</v>
      </c>
      <c r="AO1844" t="s">
        <v>118</v>
      </c>
      <c r="AP1844">
        <v>85</v>
      </c>
      <c r="AQ1844">
        <v>87</v>
      </c>
      <c r="AR1844">
        <v>-128</v>
      </c>
      <c r="AZ1844">
        <v>300</v>
      </c>
      <c r="BA1844">
        <v>1</v>
      </c>
      <c r="BB1844" t="str">
        <f t="shared" si="92"/>
        <v xml:space="preserve">N162AM  </v>
      </c>
      <c r="BC1844">
        <v>1</v>
      </c>
      <c r="BE1844">
        <v>0</v>
      </c>
      <c r="BF1844">
        <v>0</v>
      </c>
      <c r="BG1844">
        <v>0</v>
      </c>
      <c r="BH1844">
        <v>1825</v>
      </c>
      <c r="BI1844">
        <v>1</v>
      </c>
      <c r="BJ1844">
        <v>1</v>
      </c>
      <c r="BK1844">
        <v>1</v>
      </c>
      <c r="BL1844">
        <v>0</v>
      </c>
      <c r="BO1844">
        <v>0</v>
      </c>
      <c r="BP1844">
        <v>0</v>
      </c>
      <c r="BW1844" t="str">
        <f>"14:52:33.676"</f>
        <v>14:52:33.676</v>
      </c>
      <c r="CJ1844">
        <v>3</v>
      </c>
      <c r="CK1844">
        <v>2</v>
      </c>
      <c r="CL1844">
        <v>0</v>
      </c>
      <c r="CM1844">
        <v>2</v>
      </c>
      <c r="CN1844">
        <v>0</v>
      </c>
      <c r="CO1844">
        <v>7</v>
      </c>
      <c r="CP1844" t="s">
        <v>119</v>
      </c>
      <c r="CQ1844">
        <v>232</v>
      </c>
      <c r="CR1844">
        <v>2</v>
      </c>
      <c r="CW1844">
        <v>6940056</v>
      </c>
      <c r="CY1844">
        <v>1</v>
      </c>
      <c r="CZ1844">
        <v>0</v>
      </c>
      <c r="DA1844">
        <v>1</v>
      </c>
      <c r="DB1844">
        <v>0</v>
      </c>
      <c r="DC1844">
        <v>0</v>
      </c>
      <c r="DD1844">
        <v>1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>"12/16/2021 14:52:33.869"</f>
        <v>12/16/2021 14:52:33.869</v>
      </c>
      <c r="C1845" t="str">
        <f t="shared" si="91"/>
        <v>FFDFD3C0</v>
      </c>
      <c r="D1845" t="s">
        <v>124</v>
      </c>
      <c r="E1845">
        <v>5</v>
      </c>
      <c r="F1845">
        <v>1005</v>
      </c>
      <c r="G1845" t="s">
        <v>114</v>
      </c>
      <c r="J1845" t="s">
        <v>125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>"14:52:33.672"</f>
        <v>14:52:33.672</v>
      </c>
      <c r="T1845" t="str">
        <f>"14:52:33.172"</f>
        <v>14:52:33.172</v>
      </c>
      <c r="U1845" t="str">
        <f t="shared" si="90"/>
        <v>A0F928</v>
      </c>
      <c r="V1845">
        <v>0</v>
      </c>
      <c r="W1845">
        <v>0</v>
      </c>
      <c r="X1845">
        <v>2</v>
      </c>
      <c r="Z1845">
        <v>0</v>
      </c>
      <c r="AA1845">
        <v>9</v>
      </c>
      <c r="AB1845">
        <v>3</v>
      </c>
      <c r="AC1845">
        <v>0</v>
      </c>
      <c r="AD1845">
        <v>10</v>
      </c>
      <c r="AE1845">
        <v>0</v>
      </c>
      <c r="AF1845">
        <v>3</v>
      </c>
      <c r="AG1845">
        <v>2</v>
      </c>
      <c r="AH1845">
        <v>1</v>
      </c>
      <c r="AI1845" t="s">
        <v>979</v>
      </c>
      <c r="AJ1845">
        <v>35.844011000000002</v>
      </c>
      <c r="AK1845" t="s">
        <v>980</v>
      </c>
      <c r="AL1845">
        <v>-83.995328000000001</v>
      </c>
      <c r="AM1845">
        <v>25</v>
      </c>
      <c r="AN1845">
        <v>1575</v>
      </c>
      <c r="AO1845" t="s">
        <v>118</v>
      </c>
      <c r="AP1845">
        <v>85</v>
      </c>
      <c r="AQ1845">
        <v>87</v>
      </c>
      <c r="AR1845">
        <v>-128</v>
      </c>
      <c r="AZ1845">
        <v>300</v>
      </c>
      <c r="BA1845">
        <v>1</v>
      </c>
      <c r="BB1845" t="str">
        <f t="shared" si="92"/>
        <v xml:space="preserve">N162AM  </v>
      </c>
      <c r="BC1845">
        <v>1</v>
      </c>
      <c r="BE1845">
        <v>0</v>
      </c>
      <c r="BF1845">
        <v>0</v>
      </c>
      <c r="BG1845">
        <v>0</v>
      </c>
      <c r="BH1845">
        <v>1825</v>
      </c>
      <c r="BI1845">
        <v>1</v>
      </c>
      <c r="BJ1845">
        <v>1</v>
      </c>
      <c r="BK1845">
        <v>1</v>
      </c>
      <c r="BL1845">
        <v>0</v>
      </c>
      <c r="BO1845">
        <v>0</v>
      </c>
      <c r="BP1845">
        <v>0</v>
      </c>
      <c r="BW1845" t="str">
        <f>"14:52:33.676"</f>
        <v>14:52:33.676</v>
      </c>
      <c r="CJ1845">
        <v>3</v>
      </c>
      <c r="CK1845">
        <v>2</v>
      </c>
      <c r="CL1845">
        <v>0</v>
      </c>
      <c r="CM1845">
        <v>2</v>
      </c>
      <c r="CN1845">
        <v>0</v>
      </c>
      <c r="CO1845">
        <v>7</v>
      </c>
      <c r="CP1845" t="s">
        <v>119</v>
      </c>
      <c r="CQ1845">
        <v>232</v>
      </c>
      <c r="CR1845">
        <v>2</v>
      </c>
      <c r="CW1845">
        <v>6940056</v>
      </c>
      <c r="CY1845">
        <v>1</v>
      </c>
      <c r="CZ1845">
        <v>0</v>
      </c>
      <c r="DA1845">
        <v>1</v>
      </c>
      <c r="DB1845">
        <v>0</v>
      </c>
      <c r="DC1845">
        <v>0</v>
      </c>
      <c r="DD1845">
        <v>1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>"12/16/2021 14:52:34.929"</f>
        <v>12/16/2021 14:52:34.929</v>
      </c>
      <c r="C1846" t="str">
        <f t="shared" si="91"/>
        <v>FFDFD3C0</v>
      </c>
      <c r="D1846" t="s">
        <v>124</v>
      </c>
      <c r="E1846">
        <v>10</v>
      </c>
      <c r="F1846">
        <v>1010</v>
      </c>
      <c r="G1846" t="s">
        <v>130</v>
      </c>
      <c r="J1846" t="s">
        <v>125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>"14:52:34.719"</f>
        <v>14:52:34.719</v>
      </c>
      <c r="T1846" t="str">
        <f>"14:52:34.319"</f>
        <v>14:52:34.319</v>
      </c>
      <c r="U1846" t="str">
        <f t="shared" si="90"/>
        <v>A0F928</v>
      </c>
      <c r="V1846">
        <v>0</v>
      </c>
      <c r="W1846">
        <v>0</v>
      </c>
      <c r="X1846">
        <v>2</v>
      </c>
      <c r="Z1846">
        <v>0</v>
      </c>
      <c r="AA1846">
        <v>9</v>
      </c>
      <c r="AB1846">
        <v>3</v>
      </c>
      <c r="AC1846">
        <v>0</v>
      </c>
      <c r="AD1846">
        <v>10</v>
      </c>
      <c r="AE1846">
        <v>0</v>
      </c>
      <c r="AF1846">
        <v>3</v>
      </c>
      <c r="AG1846">
        <v>2</v>
      </c>
      <c r="AH1846">
        <v>1</v>
      </c>
      <c r="AI1846" t="s">
        <v>981</v>
      </c>
      <c r="AJ1846">
        <v>35.844439999999999</v>
      </c>
      <c r="AK1846" t="s">
        <v>982</v>
      </c>
      <c r="AL1846">
        <v>-83.994812999999994</v>
      </c>
      <c r="AM1846">
        <v>25</v>
      </c>
      <c r="AN1846">
        <v>1575</v>
      </c>
      <c r="AO1846" t="s">
        <v>118</v>
      </c>
      <c r="AP1846">
        <v>85</v>
      </c>
      <c r="AQ1846">
        <v>86</v>
      </c>
      <c r="AR1846">
        <v>-128</v>
      </c>
      <c r="AZ1846">
        <v>300</v>
      </c>
      <c r="BA1846">
        <v>1</v>
      </c>
      <c r="BB1846" t="str">
        <f t="shared" si="92"/>
        <v xml:space="preserve">N162AM  </v>
      </c>
      <c r="BC1846">
        <v>1</v>
      </c>
      <c r="BE1846">
        <v>0</v>
      </c>
      <c r="BF1846">
        <v>0</v>
      </c>
      <c r="BG1846">
        <v>0</v>
      </c>
      <c r="BH1846">
        <v>1825</v>
      </c>
      <c r="BI1846">
        <v>1</v>
      </c>
      <c r="BJ1846">
        <v>1</v>
      </c>
      <c r="BK1846">
        <v>1</v>
      </c>
      <c r="BL1846">
        <v>0</v>
      </c>
      <c r="BO1846">
        <v>0</v>
      </c>
      <c r="BP1846">
        <v>0</v>
      </c>
      <c r="BW1846" t="str">
        <f>"14:52:34.721"</f>
        <v>14:52:34.721</v>
      </c>
      <c r="CJ1846">
        <v>3</v>
      </c>
      <c r="CK1846">
        <v>2</v>
      </c>
      <c r="CL1846">
        <v>0</v>
      </c>
      <c r="CM1846">
        <v>2</v>
      </c>
      <c r="CN1846">
        <v>0</v>
      </c>
      <c r="CO1846">
        <v>6</v>
      </c>
      <c r="CP1846" t="s">
        <v>119</v>
      </c>
      <c r="CQ1846">
        <v>232</v>
      </c>
      <c r="CR1846">
        <v>2</v>
      </c>
      <c r="CW1846">
        <v>6941609</v>
      </c>
      <c r="CY1846">
        <v>1</v>
      </c>
      <c r="CZ1846">
        <v>0</v>
      </c>
      <c r="DA1846">
        <v>0</v>
      </c>
      <c r="DB1846">
        <v>0</v>
      </c>
      <c r="DC1846">
        <v>0</v>
      </c>
      <c r="DD1846">
        <v>1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>"12/16/2021 14:52:34.929"</f>
        <v>12/16/2021 14:52:34.929</v>
      </c>
      <c r="C1847" t="str">
        <f t="shared" si="91"/>
        <v>FFDFD3C0</v>
      </c>
      <c r="D1847" t="s">
        <v>113</v>
      </c>
      <c r="E1847">
        <v>8</v>
      </c>
      <c r="H1847">
        <v>176</v>
      </c>
      <c r="I1847" t="s">
        <v>114</v>
      </c>
      <c r="J1847" t="s">
        <v>115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>"14:52:34.719"</f>
        <v>14:52:34.719</v>
      </c>
      <c r="T1847" t="str">
        <f>"14:52:34.319"</f>
        <v>14:52:34.319</v>
      </c>
      <c r="U1847" t="str">
        <f t="shared" si="90"/>
        <v>A0F928</v>
      </c>
      <c r="V1847">
        <v>0</v>
      </c>
      <c r="W1847">
        <v>0</v>
      </c>
      <c r="X1847">
        <v>2</v>
      </c>
      <c r="Z1847">
        <v>0</v>
      </c>
      <c r="AA1847">
        <v>9</v>
      </c>
      <c r="AB1847">
        <v>3</v>
      </c>
      <c r="AC1847">
        <v>0</v>
      </c>
      <c r="AD1847">
        <v>10</v>
      </c>
      <c r="AE1847">
        <v>0</v>
      </c>
      <c r="AF1847">
        <v>3</v>
      </c>
      <c r="AG1847">
        <v>2</v>
      </c>
      <c r="AH1847">
        <v>1</v>
      </c>
      <c r="AI1847" t="s">
        <v>981</v>
      </c>
      <c r="AJ1847">
        <v>35.844439999999999</v>
      </c>
      <c r="AK1847" t="s">
        <v>982</v>
      </c>
      <c r="AL1847">
        <v>-83.994812999999994</v>
      </c>
      <c r="AM1847">
        <v>25</v>
      </c>
      <c r="AN1847">
        <v>1575</v>
      </c>
      <c r="AO1847" t="s">
        <v>118</v>
      </c>
      <c r="AP1847">
        <v>85</v>
      </c>
      <c r="AQ1847">
        <v>86</v>
      </c>
      <c r="AR1847">
        <v>-128</v>
      </c>
      <c r="AZ1847">
        <v>300</v>
      </c>
      <c r="BA1847">
        <v>1</v>
      </c>
      <c r="BB1847" t="str">
        <f t="shared" si="92"/>
        <v xml:space="preserve">N162AM  </v>
      </c>
      <c r="BC1847">
        <v>1</v>
      </c>
      <c r="BE1847">
        <v>0</v>
      </c>
      <c r="BF1847">
        <v>0</v>
      </c>
      <c r="BG1847">
        <v>0</v>
      </c>
      <c r="BH1847">
        <v>1825</v>
      </c>
      <c r="BI1847">
        <v>1</v>
      </c>
      <c r="BJ1847">
        <v>1</v>
      </c>
      <c r="BK1847">
        <v>1</v>
      </c>
      <c r="BL1847">
        <v>0</v>
      </c>
      <c r="BO1847">
        <v>0</v>
      </c>
      <c r="BP1847">
        <v>0</v>
      </c>
      <c r="BW1847" t="str">
        <f>"14:52:34.721"</f>
        <v>14:52:34.721</v>
      </c>
      <c r="CJ1847">
        <v>3</v>
      </c>
      <c r="CK1847">
        <v>2</v>
      </c>
      <c r="CL1847">
        <v>0</v>
      </c>
      <c r="CM1847">
        <v>2</v>
      </c>
      <c r="CN1847">
        <v>0</v>
      </c>
      <c r="CO1847">
        <v>6</v>
      </c>
      <c r="CP1847" t="s">
        <v>119</v>
      </c>
      <c r="CQ1847">
        <v>232</v>
      </c>
      <c r="CR1847">
        <v>2</v>
      </c>
      <c r="CW1847">
        <v>6941609</v>
      </c>
      <c r="CY1847">
        <v>1</v>
      </c>
      <c r="CZ1847">
        <v>0</v>
      </c>
      <c r="DA1847">
        <v>1</v>
      </c>
      <c r="DB1847">
        <v>0</v>
      </c>
      <c r="DC1847">
        <v>0</v>
      </c>
      <c r="DD1847">
        <v>1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>"12/16/2021 14:52:34.929"</f>
        <v>12/16/2021 14:52:34.929</v>
      </c>
      <c r="C1848" t="str">
        <f t="shared" si="91"/>
        <v>FFDFD3C0</v>
      </c>
      <c r="D1848" t="s">
        <v>124</v>
      </c>
      <c r="E1848">
        <v>5</v>
      </c>
      <c r="F1848">
        <v>1005</v>
      </c>
      <c r="G1848" t="s">
        <v>114</v>
      </c>
      <c r="J1848" t="s">
        <v>125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>"14:52:34.719"</f>
        <v>14:52:34.719</v>
      </c>
      <c r="T1848" t="str">
        <f>"14:52:34.319"</f>
        <v>14:52:34.319</v>
      </c>
      <c r="U1848" t="str">
        <f t="shared" si="90"/>
        <v>A0F928</v>
      </c>
      <c r="V1848">
        <v>0</v>
      </c>
      <c r="W1848">
        <v>0</v>
      </c>
      <c r="X1848">
        <v>2</v>
      </c>
      <c r="Z1848">
        <v>0</v>
      </c>
      <c r="AA1848">
        <v>9</v>
      </c>
      <c r="AB1848">
        <v>3</v>
      </c>
      <c r="AC1848">
        <v>0</v>
      </c>
      <c r="AD1848">
        <v>10</v>
      </c>
      <c r="AE1848">
        <v>0</v>
      </c>
      <c r="AF1848">
        <v>3</v>
      </c>
      <c r="AG1848">
        <v>2</v>
      </c>
      <c r="AH1848">
        <v>1</v>
      </c>
      <c r="AI1848" t="s">
        <v>981</v>
      </c>
      <c r="AJ1848">
        <v>35.844439999999999</v>
      </c>
      <c r="AK1848" t="s">
        <v>982</v>
      </c>
      <c r="AL1848">
        <v>-83.994812999999994</v>
      </c>
      <c r="AM1848">
        <v>25</v>
      </c>
      <c r="AN1848">
        <v>1575</v>
      </c>
      <c r="AO1848" t="s">
        <v>118</v>
      </c>
      <c r="AP1848">
        <v>85</v>
      </c>
      <c r="AQ1848">
        <v>86</v>
      </c>
      <c r="AR1848">
        <v>-128</v>
      </c>
      <c r="AZ1848">
        <v>300</v>
      </c>
      <c r="BA1848">
        <v>1</v>
      </c>
      <c r="BB1848" t="str">
        <f t="shared" si="92"/>
        <v xml:space="preserve">N162AM  </v>
      </c>
      <c r="BC1848">
        <v>1</v>
      </c>
      <c r="BE1848">
        <v>0</v>
      </c>
      <c r="BF1848">
        <v>0</v>
      </c>
      <c r="BG1848">
        <v>0</v>
      </c>
      <c r="BH1848">
        <v>1825</v>
      </c>
      <c r="BI1848">
        <v>1</v>
      </c>
      <c r="BJ1848">
        <v>1</v>
      </c>
      <c r="BK1848">
        <v>1</v>
      </c>
      <c r="BL1848">
        <v>0</v>
      </c>
      <c r="BO1848">
        <v>0</v>
      </c>
      <c r="BP1848">
        <v>0</v>
      </c>
      <c r="BW1848" t="str">
        <f>"14:52:34.721"</f>
        <v>14:52:34.721</v>
      </c>
      <c r="CJ1848">
        <v>3</v>
      </c>
      <c r="CK1848">
        <v>2</v>
      </c>
      <c r="CL1848">
        <v>0</v>
      </c>
      <c r="CM1848">
        <v>2</v>
      </c>
      <c r="CN1848">
        <v>0</v>
      </c>
      <c r="CO1848">
        <v>6</v>
      </c>
      <c r="CP1848" t="s">
        <v>119</v>
      </c>
      <c r="CQ1848">
        <v>232</v>
      </c>
      <c r="CR1848">
        <v>2</v>
      </c>
      <c r="CW1848">
        <v>6941609</v>
      </c>
      <c r="CY1848">
        <v>1</v>
      </c>
      <c r="CZ1848">
        <v>0</v>
      </c>
      <c r="DA1848">
        <v>1</v>
      </c>
      <c r="DB1848">
        <v>0</v>
      </c>
      <c r="DC1848">
        <v>0</v>
      </c>
      <c r="DD1848">
        <v>1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>"12/16/2021 14:52:34.929"</f>
        <v>12/16/2021 14:52:34.929</v>
      </c>
      <c r="C1849" t="str">
        <f t="shared" si="91"/>
        <v>FFDFD3C0</v>
      </c>
      <c r="D1849" t="s">
        <v>133</v>
      </c>
      <c r="E1849">
        <v>44</v>
      </c>
      <c r="H1849">
        <v>131</v>
      </c>
      <c r="I1849" t="s">
        <v>134</v>
      </c>
      <c r="J1849" t="s">
        <v>135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>"14:52:34.719"</f>
        <v>14:52:34.719</v>
      </c>
      <c r="T1849" t="str">
        <f>"14:52:34.319"</f>
        <v>14:52:34.319</v>
      </c>
      <c r="U1849" t="str">
        <f t="shared" si="90"/>
        <v>A0F928</v>
      </c>
      <c r="V1849">
        <v>0</v>
      </c>
      <c r="W1849">
        <v>0</v>
      </c>
      <c r="X1849">
        <v>2</v>
      </c>
      <c r="Z1849">
        <v>0</v>
      </c>
      <c r="AA1849">
        <v>9</v>
      </c>
      <c r="AB1849">
        <v>3</v>
      </c>
      <c r="AC1849">
        <v>0</v>
      </c>
      <c r="AD1849">
        <v>10</v>
      </c>
      <c r="AE1849">
        <v>0</v>
      </c>
      <c r="AF1849">
        <v>3</v>
      </c>
      <c r="AG1849">
        <v>2</v>
      </c>
      <c r="AH1849">
        <v>1</v>
      </c>
      <c r="AI1849" t="s">
        <v>981</v>
      </c>
      <c r="AJ1849">
        <v>35.844439999999999</v>
      </c>
      <c r="AK1849" t="s">
        <v>982</v>
      </c>
      <c r="AL1849">
        <v>-83.994812999999994</v>
      </c>
      <c r="AM1849">
        <v>25</v>
      </c>
      <c r="AN1849">
        <v>1575</v>
      </c>
      <c r="AO1849" t="s">
        <v>118</v>
      </c>
      <c r="AP1849">
        <v>85</v>
      </c>
      <c r="AQ1849">
        <v>86</v>
      </c>
      <c r="AR1849">
        <v>-128</v>
      </c>
      <c r="AZ1849">
        <v>300</v>
      </c>
      <c r="BA1849">
        <v>1</v>
      </c>
      <c r="BB1849" t="str">
        <f t="shared" si="92"/>
        <v xml:space="preserve">N162AM  </v>
      </c>
      <c r="BC1849">
        <v>1</v>
      </c>
      <c r="BE1849">
        <v>0</v>
      </c>
      <c r="BF1849">
        <v>0</v>
      </c>
      <c r="BG1849">
        <v>0</v>
      </c>
      <c r="BH1849">
        <v>1825</v>
      </c>
      <c r="BI1849">
        <v>1</v>
      </c>
      <c r="BJ1849">
        <v>1</v>
      </c>
      <c r="BK1849">
        <v>1</v>
      </c>
      <c r="BL1849">
        <v>0</v>
      </c>
      <c r="BO1849">
        <v>0</v>
      </c>
      <c r="BP1849">
        <v>0</v>
      </c>
      <c r="BW1849" t="str">
        <f>"14:52:34.721"</f>
        <v>14:52:34.721</v>
      </c>
      <c r="CJ1849">
        <v>3</v>
      </c>
      <c r="CK1849">
        <v>2</v>
      </c>
      <c r="CL1849">
        <v>0</v>
      </c>
      <c r="CM1849">
        <v>2</v>
      </c>
      <c r="CN1849">
        <v>0</v>
      </c>
      <c r="CO1849">
        <v>6</v>
      </c>
      <c r="CP1849" t="s">
        <v>119</v>
      </c>
      <c r="CQ1849">
        <v>232</v>
      </c>
      <c r="CR1849">
        <v>2</v>
      </c>
      <c r="CW1849">
        <v>6941609</v>
      </c>
      <c r="CY1849">
        <v>1</v>
      </c>
      <c r="CZ1849">
        <v>0</v>
      </c>
      <c r="DA1849">
        <v>1</v>
      </c>
      <c r="DB1849">
        <v>0</v>
      </c>
      <c r="DC1849">
        <v>0</v>
      </c>
      <c r="DD1849">
        <v>1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>"12/16/2021 14:52:35.929"</f>
        <v>12/16/2021 14:52:35.929</v>
      </c>
      <c r="C1850" t="str">
        <f t="shared" si="91"/>
        <v>FFDFD3C0</v>
      </c>
      <c r="D1850" t="s">
        <v>124</v>
      </c>
      <c r="E1850">
        <v>10</v>
      </c>
      <c r="F1850">
        <v>1010</v>
      </c>
      <c r="G1850" t="s">
        <v>130</v>
      </c>
      <c r="J1850" t="s">
        <v>125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>"14:52:35.695"</f>
        <v>14:52:35.695</v>
      </c>
      <c r="T1850" t="str">
        <f>"14:52:35.195"</f>
        <v>14:52:35.195</v>
      </c>
      <c r="U1850" t="str">
        <f t="shared" si="90"/>
        <v>A0F928</v>
      </c>
      <c r="V1850">
        <v>0</v>
      </c>
      <c r="W1850">
        <v>0</v>
      </c>
      <c r="X1850">
        <v>2</v>
      </c>
      <c r="Z1850">
        <v>0</v>
      </c>
      <c r="AA1850">
        <v>9</v>
      </c>
      <c r="AB1850">
        <v>3</v>
      </c>
      <c r="AC1850">
        <v>0</v>
      </c>
      <c r="AD1850">
        <v>10</v>
      </c>
      <c r="AE1850">
        <v>0</v>
      </c>
      <c r="AF1850">
        <v>3</v>
      </c>
      <c r="AG1850">
        <v>2</v>
      </c>
      <c r="AH1850">
        <v>1</v>
      </c>
      <c r="AI1850" t="s">
        <v>983</v>
      </c>
      <c r="AJ1850">
        <v>35.844847999999999</v>
      </c>
      <c r="AK1850" t="s">
        <v>984</v>
      </c>
      <c r="AL1850">
        <v>-83.994341000000006</v>
      </c>
      <c r="AM1850">
        <v>25</v>
      </c>
      <c r="AN1850">
        <v>1575</v>
      </c>
      <c r="AO1850" t="s">
        <v>118</v>
      </c>
      <c r="AP1850">
        <v>85</v>
      </c>
      <c r="AQ1850">
        <v>86</v>
      </c>
      <c r="AR1850">
        <v>-128</v>
      </c>
      <c r="AZ1850">
        <v>300</v>
      </c>
      <c r="BA1850">
        <v>1</v>
      </c>
      <c r="BB1850" t="str">
        <f t="shared" si="92"/>
        <v xml:space="preserve">N162AM  </v>
      </c>
      <c r="BC1850">
        <v>1</v>
      </c>
      <c r="BE1850">
        <v>0</v>
      </c>
      <c r="BF1850">
        <v>0</v>
      </c>
      <c r="BG1850">
        <v>0</v>
      </c>
      <c r="BH1850">
        <v>1825</v>
      </c>
      <c r="BI1850">
        <v>1</v>
      </c>
      <c r="BJ1850">
        <v>1</v>
      </c>
      <c r="BK1850">
        <v>1</v>
      </c>
      <c r="BL1850">
        <v>0</v>
      </c>
      <c r="BO1850">
        <v>0</v>
      </c>
      <c r="BP1850">
        <v>0</v>
      </c>
      <c r="BW1850" t="str">
        <f>"14:52:35.697"</f>
        <v>14:52:35.697</v>
      </c>
      <c r="CJ1850">
        <v>3</v>
      </c>
      <c r="CK1850">
        <v>2</v>
      </c>
      <c r="CL1850">
        <v>0</v>
      </c>
      <c r="CM1850">
        <v>2</v>
      </c>
      <c r="CN1850">
        <v>0</v>
      </c>
      <c r="CO1850">
        <v>6</v>
      </c>
      <c r="CP1850" t="s">
        <v>119</v>
      </c>
      <c r="CQ1850">
        <v>232</v>
      </c>
      <c r="CR1850">
        <v>2</v>
      </c>
      <c r="CW1850">
        <v>6943167</v>
      </c>
      <c r="CY1850">
        <v>1</v>
      </c>
      <c r="CZ1850">
        <v>0</v>
      </c>
      <c r="DA1850">
        <v>0</v>
      </c>
      <c r="DB1850">
        <v>0</v>
      </c>
      <c r="DC1850">
        <v>0</v>
      </c>
      <c r="DD1850">
        <v>1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>"12/16/2021 14:52:35.929"</f>
        <v>12/16/2021 14:52:35.929</v>
      </c>
      <c r="C1851" t="str">
        <f t="shared" si="91"/>
        <v>FFDFD3C0</v>
      </c>
      <c r="D1851" t="s">
        <v>124</v>
      </c>
      <c r="E1851">
        <v>5</v>
      </c>
      <c r="F1851">
        <v>1005</v>
      </c>
      <c r="G1851" t="s">
        <v>114</v>
      </c>
      <c r="J1851" t="s">
        <v>125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>"14:52:35.695"</f>
        <v>14:52:35.695</v>
      </c>
      <c r="T1851" t="str">
        <f>"14:52:35.195"</f>
        <v>14:52:35.195</v>
      </c>
      <c r="U1851" t="str">
        <f t="shared" si="90"/>
        <v>A0F928</v>
      </c>
      <c r="V1851">
        <v>0</v>
      </c>
      <c r="W1851">
        <v>0</v>
      </c>
      <c r="X1851">
        <v>2</v>
      </c>
      <c r="Z1851">
        <v>0</v>
      </c>
      <c r="AA1851">
        <v>9</v>
      </c>
      <c r="AB1851">
        <v>3</v>
      </c>
      <c r="AC1851">
        <v>0</v>
      </c>
      <c r="AD1851">
        <v>10</v>
      </c>
      <c r="AE1851">
        <v>0</v>
      </c>
      <c r="AF1851">
        <v>3</v>
      </c>
      <c r="AG1851">
        <v>2</v>
      </c>
      <c r="AH1851">
        <v>1</v>
      </c>
      <c r="AI1851" t="s">
        <v>983</v>
      </c>
      <c r="AJ1851">
        <v>35.844847999999999</v>
      </c>
      <c r="AK1851" t="s">
        <v>984</v>
      </c>
      <c r="AL1851">
        <v>-83.994341000000006</v>
      </c>
      <c r="AM1851">
        <v>25</v>
      </c>
      <c r="AN1851">
        <v>1575</v>
      </c>
      <c r="AO1851" t="s">
        <v>118</v>
      </c>
      <c r="AP1851">
        <v>85</v>
      </c>
      <c r="AQ1851">
        <v>86</v>
      </c>
      <c r="AR1851">
        <v>-128</v>
      </c>
      <c r="AZ1851">
        <v>300</v>
      </c>
      <c r="BA1851">
        <v>1</v>
      </c>
      <c r="BB1851" t="str">
        <f t="shared" si="92"/>
        <v xml:space="preserve">N162AM  </v>
      </c>
      <c r="BC1851">
        <v>1</v>
      </c>
      <c r="BE1851">
        <v>0</v>
      </c>
      <c r="BF1851">
        <v>0</v>
      </c>
      <c r="BG1851">
        <v>0</v>
      </c>
      <c r="BH1851">
        <v>1825</v>
      </c>
      <c r="BI1851">
        <v>1</v>
      </c>
      <c r="BJ1851">
        <v>1</v>
      </c>
      <c r="BK1851">
        <v>1</v>
      </c>
      <c r="BL1851">
        <v>0</v>
      </c>
      <c r="BO1851">
        <v>0</v>
      </c>
      <c r="BP1851">
        <v>0</v>
      </c>
      <c r="BW1851" t="str">
        <f>"14:52:35.697"</f>
        <v>14:52:35.697</v>
      </c>
      <c r="CJ1851">
        <v>3</v>
      </c>
      <c r="CK1851">
        <v>2</v>
      </c>
      <c r="CL1851">
        <v>0</v>
      </c>
      <c r="CM1851">
        <v>2</v>
      </c>
      <c r="CN1851">
        <v>0</v>
      </c>
      <c r="CO1851">
        <v>6</v>
      </c>
      <c r="CP1851" t="s">
        <v>119</v>
      </c>
      <c r="CQ1851">
        <v>232</v>
      </c>
      <c r="CR1851">
        <v>2</v>
      </c>
      <c r="CW1851">
        <v>6943167</v>
      </c>
      <c r="CY1851">
        <v>1</v>
      </c>
      <c r="CZ1851">
        <v>0</v>
      </c>
      <c r="DA1851">
        <v>1</v>
      </c>
      <c r="DB1851">
        <v>0</v>
      </c>
      <c r="DC1851">
        <v>0</v>
      </c>
      <c r="DD1851">
        <v>1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>"12/16/2021 14:52:35.961"</f>
        <v>12/16/2021 14:52:35.961</v>
      </c>
      <c r="C1852" t="str">
        <f t="shared" si="91"/>
        <v>FFDFD3C0</v>
      </c>
      <c r="D1852" t="s">
        <v>113</v>
      </c>
      <c r="E1852">
        <v>8</v>
      </c>
      <c r="H1852">
        <v>176</v>
      </c>
      <c r="I1852" t="s">
        <v>114</v>
      </c>
      <c r="J1852" t="s">
        <v>115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>"14:52:35.695"</f>
        <v>14:52:35.695</v>
      </c>
      <c r="T1852" t="str">
        <f>"14:52:35.195"</f>
        <v>14:52:35.195</v>
      </c>
      <c r="U1852" t="str">
        <f t="shared" si="90"/>
        <v>A0F928</v>
      </c>
      <c r="V1852">
        <v>0</v>
      </c>
      <c r="W1852">
        <v>0</v>
      </c>
      <c r="X1852">
        <v>2</v>
      </c>
      <c r="Z1852">
        <v>0</v>
      </c>
      <c r="AA1852">
        <v>9</v>
      </c>
      <c r="AB1852">
        <v>3</v>
      </c>
      <c r="AC1852">
        <v>0</v>
      </c>
      <c r="AD1852">
        <v>10</v>
      </c>
      <c r="AE1852">
        <v>0</v>
      </c>
      <c r="AF1852">
        <v>3</v>
      </c>
      <c r="AG1852">
        <v>2</v>
      </c>
      <c r="AH1852">
        <v>1</v>
      </c>
      <c r="AI1852" t="s">
        <v>983</v>
      </c>
      <c r="AJ1852">
        <v>35.844847999999999</v>
      </c>
      <c r="AK1852" t="s">
        <v>984</v>
      </c>
      <c r="AL1852">
        <v>-83.994341000000006</v>
      </c>
      <c r="AM1852">
        <v>25</v>
      </c>
      <c r="AN1852">
        <v>1575</v>
      </c>
      <c r="AO1852" t="s">
        <v>118</v>
      </c>
      <c r="AP1852">
        <v>85</v>
      </c>
      <c r="AQ1852">
        <v>86</v>
      </c>
      <c r="AR1852">
        <v>-128</v>
      </c>
      <c r="AZ1852">
        <v>300</v>
      </c>
      <c r="BA1852">
        <v>1</v>
      </c>
      <c r="BB1852" t="str">
        <f t="shared" si="92"/>
        <v xml:space="preserve">N162AM  </v>
      </c>
      <c r="BC1852">
        <v>1</v>
      </c>
      <c r="BE1852">
        <v>0</v>
      </c>
      <c r="BF1852">
        <v>0</v>
      </c>
      <c r="BG1852">
        <v>0</v>
      </c>
      <c r="BH1852">
        <v>1825</v>
      </c>
      <c r="BI1852">
        <v>1</v>
      </c>
      <c r="BJ1852">
        <v>1</v>
      </c>
      <c r="BK1852">
        <v>1</v>
      </c>
      <c r="BL1852">
        <v>0</v>
      </c>
      <c r="BO1852">
        <v>0</v>
      </c>
      <c r="BP1852">
        <v>0</v>
      </c>
      <c r="BW1852" t="str">
        <f>"14:52:35.697"</f>
        <v>14:52:35.697</v>
      </c>
      <c r="CJ1852">
        <v>3</v>
      </c>
      <c r="CK1852">
        <v>2</v>
      </c>
      <c r="CL1852">
        <v>0</v>
      </c>
      <c r="CM1852">
        <v>2</v>
      </c>
      <c r="CN1852">
        <v>0</v>
      </c>
      <c r="CO1852">
        <v>6</v>
      </c>
      <c r="CP1852" t="s">
        <v>119</v>
      </c>
      <c r="CQ1852">
        <v>232</v>
      </c>
      <c r="CR1852">
        <v>2</v>
      </c>
      <c r="CW1852">
        <v>6943167</v>
      </c>
      <c r="CY1852">
        <v>1</v>
      </c>
      <c r="CZ1852">
        <v>0</v>
      </c>
      <c r="DA1852">
        <v>1</v>
      </c>
      <c r="DB1852">
        <v>0</v>
      </c>
      <c r="DC1852">
        <v>0</v>
      </c>
      <c r="DD1852">
        <v>1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>"12/16/2021 14:52:35.961"</f>
        <v>12/16/2021 14:52:35.961</v>
      </c>
      <c r="C1853" t="str">
        <f t="shared" si="91"/>
        <v>FFDFD3C0</v>
      </c>
      <c r="D1853" t="s">
        <v>133</v>
      </c>
      <c r="E1853">
        <v>44</v>
      </c>
      <c r="H1853">
        <v>131</v>
      </c>
      <c r="I1853" t="s">
        <v>134</v>
      </c>
      <c r="J1853" t="s">
        <v>135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>"14:52:35.695"</f>
        <v>14:52:35.695</v>
      </c>
      <c r="T1853" t="str">
        <f>"14:52:35.195"</f>
        <v>14:52:35.195</v>
      </c>
      <c r="U1853" t="str">
        <f t="shared" si="90"/>
        <v>A0F928</v>
      </c>
      <c r="V1853">
        <v>0</v>
      </c>
      <c r="W1853">
        <v>0</v>
      </c>
      <c r="X1853">
        <v>2</v>
      </c>
      <c r="Z1853">
        <v>0</v>
      </c>
      <c r="AA1853">
        <v>9</v>
      </c>
      <c r="AB1853">
        <v>3</v>
      </c>
      <c r="AC1853">
        <v>0</v>
      </c>
      <c r="AD1853">
        <v>10</v>
      </c>
      <c r="AE1853">
        <v>0</v>
      </c>
      <c r="AF1853">
        <v>3</v>
      </c>
      <c r="AG1853">
        <v>2</v>
      </c>
      <c r="AH1853">
        <v>1</v>
      </c>
      <c r="AI1853" t="s">
        <v>983</v>
      </c>
      <c r="AJ1853">
        <v>35.844847999999999</v>
      </c>
      <c r="AK1853" t="s">
        <v>984</v>
      </c>
      <c r="AL1853">
        <v>-83.994341000000006</v>
      </c>
      <c r="AM1853">
        <v>25</v>
      </c>
      <c r="AN1853">
        <v>1575</v>
      </c>
      <c r="AO1853" t="s">
        <v>118</v>
      </c>
      <c r="AP1853">
        <v>85</v>
      </c>
      <c r="AQ1853">
        <v>86</v>
      </c>
      <c r="AR1853">
        <v>-128</v>
      </c>
      <c r="AZ1853">
        <v>300</v>
      </c>
      <c r="BA1853">
        <v>1</v>
      </c>
      <c r="BB1853" t="str">
        <f t="shared" si="92"/>
        <v xml:space="preserve">N162AM  </v>
      </c>
      <c r="BC1853">
        <v>1</v>
      </c>
      <c r="BE1853">
        <v>0</v>
      </c>
      <c r="BF1853">
        <v>0</v>
      </c>
      <c r="BG1853">
        <v>0</v>
      </c>
      <c r="BH1853">
        <v>1825</v>
      </c>
      <c r="BI1853">
        <v>1</v>
      </c>
      <c r="BJ1853">
        <v>1</v>
      </c>
      <c r="BK1853">
        <v>1</v>
      </c>
      <c r="BL1853">
        <v>0</v>
      </c>
      <c r="BO1853">
        <v>0</v>
      </c>
      <c r="BP1853">
        <v>0</v>
      </c>
      <c r="BW1853" t="str">
        <f>"14:52:35.697"</f>
        <v>14:52:35.697</v>
      </c>
      <c r="CJ1853">
        <v>3</v>
      </c>
      <c r="CK1853">
        <v>2</v>
      </c>
      <c r="CL1853">
        <v>0</v>
      </c>
      <c r="CM1853">
        <v>2</v>
      </c>
      <c r="CN1853">
        <v>0</v>
      </c>
      <c r="CO1853">
        <v>6</v>
      </c>
      <c r="CP1853" t="s">
        <v>119</v>
      </c>
      <c r="CQ1853">
        <v>232</v>
      </c>
      <c r="CR1853">
        <v>2</v>
      </c>
      <c r="CW1853">
        <v>6943167</v>
      </c>
      <c r="CY1853">
        <v>1</v>
      </c>
      <c r="CZ1853">
        <v>0</v>
      </c>
      <c r="DA1853">
        <v>1</v>
      </c>
      <c r="DB1853">
        <v>0</v>
      </c>
      <c r="DC1853">
        <v>0</v>
      </c>
      <c r="DD1853">
        <v>1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>"12/16/2021 14:52:36.805"</f>
        <v>12/16/2021 14:52:36.805</v>
      </c>
      <c r="C1854" t="str">
        <f t="shared" si="91"/>
        <v>FFDFD3C0</v>
      </c>
      <c r="D1854" t="s">
        <v>113</v>
      </c>
      <c r="E1854">
        <v>8</v>
      </c>
      <c r="H1854">
        <v>176</v>
      </c>
      <c r="I1854" t="s">
        <v>114</v>
      </c>
      <c r="J1854" t="s">
        <v>115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>"14:52:36.586"</f>
        <v>14:52:36.586</v>
      </c>
      <c r="T1854" t="str">
        <f>"14:52:36.186"</f>
        <v>14:52:36.186</v>
      </c>
      <c r="U1854" t="str">
        <f t="shared" si="90"/>
        <v>A0F928</v>
      </c>
      <c r="V1854">
        <v>0</v>
      </c>
      <c r="W1854">
        <v>0</v>
      </c>
      <c r="X1854">
        <v>2</v>
      </c>
      <c r="Z1854">
        <v>0</v>
      </c>
      <c r="AA1854">
        <v>9</v>
      </c>
      <c r="AB1854">
        <v>3</v>
      </c>
      <c r="AC1854">
        <v>0</v>
      </c>
      <c r="AD1854">
        <v>10</v>
      </c>
      <c r="AE1854">
        <v>0</v>
      </c>
      <c r="AF1854">
        <v>3</v>
      </c>
      <c r="AG1854">
        <v>2</v>
      </c>
      <c r="AH1854">
        <v>1</v>
      </c>
      <c r="AI1854" t="s">
        <v>985</v>
      </c>
      <c r="AJ1854">
        <v>35.845233999999998</v>
      </c>
      <c r="AK1854" t="s">
        <v>986</v>
      </c>
      <c r="AL1854">
        <v>-83.993911999999995</v>
      </c>
      <c r="AM1854">
        <v>25</v>
      </c>
      <c r="AN1854">
        <v>1575</v>
      </c>
      <c r="AO1854" t="s">
        <v>118</v>
      </c>
      <c r="AP1854">
        <v>84</v>
      </c>
      <c r="AQ1854">
        <v>87</v>
      </c>
      <c r="AR1854">
        <v>-192</v>
      </c>
      <c r="AZ1854">
        <v>300</v>
      </c>
      <c r="BA1854">
        <v>1</v>
      </c>
      <c r="BB1854" t="str">
        <f t="shared" si="92"/>
        <v xml:space="preserve">N162AM  </v>
      </c>
      <c r="BC1854">
        <v>1</v>
      </c>
      <c r="BE1854">
        <v>0</v>
      </c>
      <c r="BF1854">
        <v>0</v>
      </c>
      <c r="BG1854">
        <v>0</v>
      </c>
      <c r="BH1854">
        <v>1825</v>
      </c>
      <c r="BI1854">
        <v>1</v>
      </c>
      <c r="BJ1854">
        <v>1</v>
      </c>
      <c r="BK1854">
        <v>1</v>
      </c>
      <c r="BL1854">
        <v>0</v>
      </c>
      <c r="BO1854">
        <v>0</v>
      </c>
      <c r="BP1854">
        <v>0</v>
      </c>
      <c r="BW1854" t="str">
        <f>"14:52:36.589"</f>
        <v>14:52:36.589</v>
      </c>
      <c r="CJ1854">
        <v>3</v>
      </c>
      <c r="CK1854">
        <v>2</v>
      </c>
      <c r="CL1854">
        <v>0</v>
      </c>
      <c r="CM1854">
        <v>2</v>
      </c>
      <c r="CN1854">
        <v>0</v>
      </c>
      <c r="CO1854">
        <v>7</v>
      </c>
      <c r="CP1854" t="s">
        <v>119</v>
      </c>
      <c r="CQ1854">
        <v>232</v>
      </c>
      <c r="CR1854">
        <v>2</v>
      </c>
      <c r="CW1854">
        <v>6944648</v>
      </c>
      <c r="CY1854">
        <v>1</v>
      </c>
      <c r="CZ1854">
        <v>0</v>
      </c>
      <c r="DA1854">
        <v>0</v>
      </c>
      <c r="DB1854">
        <v>0</v>
      </c>
      <c r="DC1854">
        <v>0</v>
      </c>
      <c r="DD1854">
        <v>1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>"12/16/2021 14:52:36.805"</f>
        <v>12/16/2021 14:52:36.805</v>
      </c>
      <c r="C1855" t="str">
        <f t="shared" si="91"/>
        <v>FFDFD3C0</v>
      </c>
      <c r="D1855" t="s">
        <v>133</v>
      </c>
      <c r="E1855">
        <v>44</v>
      </c>
      <c r="H1855">
        <v>131</v>
      </c>
      <c r="I1855" t="s">
        <v>134</v>
      </c>
      <c r="J1855" t="s">
        <v>135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>"14:52:36.586"</f>
        <v>14:52:36.586</v>
      </c>
      <c r="T1855" t="str">
        <f>"14:52:36.186"</f>
        <v>14:52:36.186</v>
      </c>
      <c r="U1855" t="str">
        <f t="shared" si="90"/>
        <v>A0F928</v>
      </c>
      <c r="V1855">
        <v>0</v>
      </c>
      <c r="W1855">
        <v>0</v>
      </c>
      <c r="X1855">
        <v>2</v>
      </c>
      <c r="Z1855">
        <v>0</v>
      </c>
      <c r="AA1855">
        <v>9</v>
      </c>
      <c r="AB1855">
        <v>3</v>
      </c>
      <c r="AC1855">
        <v>0</v>
      </c>
      <c r="AD1855">
        <v>10</v>
      </c>
      <c r="AE1855">
        <v>0</v>
      </c>
      <c r="AF1855">
        <v>3</v>
      </c>
      <c r="AG1855">
        <v>2</v>
      </c>
      <c r="AH1855">
        <v>1</v>
      </c>
      <c r="AI1855" t="s">
        <v>985</v>
      </c>
      <c r="AJ1855">
        <v>35.845233999999998</v>
      </c>
      <c r="AK1855" t="s">
        <v>986</v>
      </c>
      <c r="AL1855">
        <v>-83.993911999999995</v>
      </c>
      <c r="AM1855">
        <v>25</v>
      </c>
      <c r="AN1855">
        <v>1575</v>
      </c>
      <c r="AO1855" t="s">
        <v>118</v>
      </c>
      <c r="AP1855">
        <v>84</v>
      </c>
      <c r="AQ1855">
        <v>87</v>
      </c>
      <c r="AR1855">
        <v>-192</v>
      </c>
      <c r="AZ1855">
        <v>300</v>
      </c>
      <c r="BA1855">
        <v>1</v>
      </c>
      <c r="BB1855" t="str">
        <f t="shared" si="92"/>
        <v xml:space="preserve">N162AM  </v>
      </c>
      <c r="BC1855">
        <v>1</v>
      </c>
      <c r="BE1855">
        <v>0</v>
      </c>
      <c r="BF1855">
        <v>0</v>
      </c>
      <c r="BG1855">
        <v>0</v>
      </c>
      <c r="BH1855">
        <v>1825</v>
      </c>
      <c r="BI1855">
        <v>1</v>
      </c>
      <c r="BJ1855">
        <v>1</v>
      </c>
      <c r="BK1855">
        <v>1</v>
      </c>
      <c r="BL1855">
        <v>0</v>
      </c>
      <c r="BO1855">
        <v>0</v>
      </c>
      <c r="BP1855">
        <v>0</v>
      </c>
      <c r="BW1855" t="str">
        <f>"14:52:36.589"</f>
        <v>14:52:36.589</v>
      </c>
      <c r="CJ1855">
        <v>3</v>
      </c>
      <c r="CK1855">
        <v>2</v>
      </c>
      <c r="CL1855">
        <v>0</v>
      </c>
      <c r="CM1855">
        <v>2</v>
      </c>
      <c r="CN1855">
        <v>0</v>
      </c>
      <c r="CO1855">
        <v>7</v>
      </c>
      <c r="CP1855" t="s">
        <v>119</v>
      </c>
      <c r="CQ1855">
        <v>232</v>
      </c>
      <c r="CR1855">
        <v>2</v>
      </c>
      <c r="CW1855">
        <v>6944648</v>
      </c>
      <c r="CY1855">
        <v>1</v>
      </c>
      <c r="CZ1855">
        <v>0</v>
      </c>
      <c r="DA1855">
        <v>1</v>
      </c>
      <c r="DB1855">
        <v>0</v>
      </c>
      <c r="DC1855">
        <v>0</v>
      </c>
      <c r="DD1855">
        <v>1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>"12/16/2021 14:52:36.820"</f>
        <v>12/16/2021 14:52:36.820</v>
      </c>
      <c r="C1856" t="str">
        <f t="shared" si="91"/>
        <v>FFDFD3C0</v>
      </c>
      <c r="D1856" t="s">
        <v>124</v>
      </c>
      <c r="E1856">
        <v>10</v>
      </c>
      <c r="F1856">
        <v>1010</v>
      </c>
      <c r="G1856" t="s">
        <v>130</v>
      </c>
      <c r="J1856" t="s">
        <v>125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>"14:52:36.586"</f>
        <v>14:52:36.586</v>
      </c>
      <c r="T1856" t="str">
        <f>"14:52:36.186"</f>
        <v>14:52:36.186</v>
      </c>
      <c r="U1856" t="str">
        <f t="shared" si="90"/>
        <v>A0F928</v>
      </c>
      <c r="V1856">
        <v>0</v>
      </c>
      <c r="W1856">
        <v>0</v>
      </c>
      <c r="X1856">
        <v>2</v>
      </c>
      <c r="Z1856">
        <v>0</v>
      </c>
      <c r="AA1856">
        <v>9</v>
      </c>
      <c r="AB1856">
        <v>3</v>
      </c>
      <c r="AC1856">
        <v>0</v>
      </c>
      <c r="AD1856">
        <v>10</v>
      </c>
      <c r="AE1856">
        <v>0</v>
      </c>
      <c r="AF1856">
        <v>3</v>
      </c>
      <c r="AG1856">
        <v>2</v>
      </c>
      <c r="AH1856">
        <v>1</v>
      </c>
      <c r="AI1856" t="s">
        <v>985</v>
      </c>
      <c r="AJ1856">
        <v>35.845233999999998</v>
      </c>
      <c r="AK1856" t="s">
        <v>986</v>
      </c>
      <c r="AL1856">
        <v>-83.993911999999995</v>
      </c>
      <c r="AM1856">
        <v>25</v>
      </c>
      <c r="AN1856">
        <v>1575</v>
      </c>
      <c r="AO1856" t="s">
        <v>118</v>
      </c>
      <c r="AP1856">
        <v>84</v>
      </c>
      <c r="AQ1856">
        <v>87</v>
      </c>
      <c r="AR1856">
        <v>-192</v>
      </c>
      <c r="AZ1856">
        <v>300</v>
      </c>
      <c r="BA1856">
        <v>1</v>
      </c>
      <c r="BB1856" t="str">
        <f t="shared" si="92"/>
        <v xml:space="preserve">N162AM  </v>
      </c>
      <c r="BC1856">
        <v>1</v>
      </c>
      <c r="BE1856">
        <v>0</v>
      </c>
      <c r="BF1856">
        <v>0</v>
      </c>
      <c r="BG1856">
        <v>0</v>
      </c>
      <c r="BH1856">
        <v>1825</v>
      </c>
      <c r="BI1856">
        <v>1</v>
      </c>
      <c r="BJ1856">
        <v>1</v>
      </c>
      <c r="BK1856">
        <v>1</v>
      </c>
      <c r="BL1856">
        <v>0</v>
      </c>
      <c r="BO1856">
        <v>0</v>
      </c>
      <c r="BP1856">
        <v>0</v>
      </c>
      <c r="BW1856" t="str">
        <f>"14:52:36.589"</f>
        <v>14:52:36.589</v>
      </c>
      <c r="CJ1856">
        <v>3</v>
      </c>
      <c r="CK1856">
        <v>2</v>
      </c>
      <c r="CL1856">
        <v>0</v>
      </c>
      <c r="CM1856">
        <v>2</v>
      </c>
      <c r="CN1856">
        <v>0</v>
      </c>
      <c r="CO1856">
        <v>7</v>
      </c>
      <c r="CP1856" t="s">
        <v>119</v>
      </c>
      <c r="CQ1856">
        <v>232</v>
      </c>
      <c r="CR1856">
        <v>2</v>
      </c>
      <c r="CW1856">
        <v>6944648</v>
      </c>
      <c r="CY1856">
        <v>1</v>
      </c>
      <c r="CZ1856">
        <v>0</v>
      </c>
      <c r="DA1856">
        <v>1</v>
      </c>
      <c r="DB1856">
        <v>0</v>
      </c>
      <c r="DC1856">
        <v>0</v>
      </c>
      <c r="DD1856">
        <v>1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>"12/16/2021 14:52:36.836"</f>
        <v>12/16/2021 14:52:36.836</v>
      </c>
      <c r="C1857" t="str">
        <f t="shared" si="91"/>
        <v>FFDFD3C0</v>
      </c>
      <c r="D1857" t="s">
        <v>124</v>
      </c>
      <c r="E1857">
        <v>5</v>
      </c>
      <c r="F1857">
        <v>1005</v>
      </c>
      <c r="G1857" t="s">
        <v>114</v>
      </c>
      <c r="J1857" t="s">
        <v>125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>"14:52:36.586"</f>
        <v>14:52:36.586</v>
      </c>
      <c r="T1857" t="str">
        <f>"14:52:36.186"</f>
        <v>14:52:36.186</v>
      </c>
      <c r="U1857" t="str">
        <f t="shared" si="90"/>
        <v>A0F928</v>
      </c>
      <c r="V1857">
        <v>0</v>
      </c>
      <c r="W1857">
        <v>0</v>
      </c>
      <c r="X1857">
        <v>2</v>
      </c>
      <c r="Z1857">
        <v>0</v>
      </c>
      <c r="AA1857">
        <v>9</v>
      </c>
      <c r="AB1857">
        <v>3</v>
      </c>
      <c r="AC1857">
        <v>0</v>
      </c>
      <c r="AD1857">
        <v>10</v>
      </c>
      <c r="AE1857">
        <v>0</v>
      </c>
      <c r="AF1857">
        <v>3</v>
      </c>
      <c r="AG1857">
        <v>2</v>
      </c>
      <c r="AH1857">
        <v>1</v>
      </c>
      <c r="AI1857" t="s">
        <v>985</v>
      </c>
      <c r="AJ1857">
        <v>35.845233999999998</v>
      </c>
      <c r="AK1857" t="s">
        <v>986</v>
      </c>
      <c r="AL1857">
        <v>-83.993911999999995</v>
      </c>
      <c r="AM1857">
        <v>25</v>
      </c>
      <c r="AN1857">
        <v>1575</v>
      </c>
      <c r="AO1857" t="s">
        <v>118</v>
      </c>
      <c r="AP1857">
        <v>84</v>
      </c>
      <c r="AQ1857">
        <v>87</v>
      </c>
      <c r="AR1857">
        <v>-192</v>
      </c>
      <c r="AZ1857">
        <v>300</v>
      </c>
      <c r="BA1857">
        <v>1</v>
      </c>
      <c r="BB1857" t="str">
        <f t="shared" si="92"/>
        <v xml:space="preserve">N162AM  </v>
      </c>
      <c r="BC1857">
        <v>1</v>
      </c>
      <c r="BE1857">
        <v>0</v>
      </c>
      <c r="BF1857">
        <v>0</v>
      </c>
      <c r="BG1857">
        <v>0</v>
      </c>
      <c r="BH1857">
        <v>1825</v>
      </c>
      <c r="BI1857">
        <v>1</v>
      </c>
      <c r="BJ1857">
        <v>1</v>
      </c>
      <c r="BK1857">
        <v>1</v>
      </c>
      <c r="BL1857">
        <v>0</v>
      </c>
      <c r="BO1857">
        <v>0</v>
      </c>
      <c r="BP1857">
        <v>0</v>
      </c>
      <c r="BW1857" t="str">
        <f>"14:52:36.589"</f>
        <v>14:52:36.589</v>
      </c>
      <c r="CJ1857">
        <v>3</v>
      </c>
      <c r="CK1857">
        <v>2</v>
      </c>
      <c r="CL1857">
        <v>0</v>
      </c>
      <c r="CM1857">
        <v>2</v>
      </c>
      <c r="CN1857">
        <v>0</v>
      </c>
      <c r="CO1857">
        <v>7</v>
      </c>
      <c r="CP1857" t="s">
        <v>119</v>
      </c>
      <c r="CQ1857">
        <v>232</v>
      </c>
      <c r="CR1857">
        <v>2</v>
      </c>
      <c r="CW1857">
        <v>6944648</v>
      </c>
      <c r="CY1857">
        <v>1</v>
      </c>
      <c r="CZ1857">
        <v>0</v>
      </c>
      <c r="DA1857">
        <v>1</v>
      </c>
      <c r="DB1857">
        <v>0</v>
      </c>
      <c r="DC1857">
        <v>0</v>
      </c>
      <c r="DD1857">
        <v>1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>"12/16/2021 14:52:37.961"</f>
        <v>12/16/2021 14:52:37.961</v>
      </c>
      <c r="C1858" t="str">
        <f t="shared" si="91"/>
        <v>FFDFD3C0</v>
      </c>
      <c r="D1858" t="s">
        <v>113</v>
      </c>
      <c r="E1858">
        <v>8</v>
      </c>
      <c r="H1858">
        <v>176</v>
      </c>
      <c r="I1858" t="s">
        <v>114</v>
      </c>
      <c r="J1858" t="s">
        <v>115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>"14:52:37.758"</f>
        <v>14:52:37.758</v>
      </c>
      <c r="T1858" t="str">
        <f>"14:52:37.258"</f>
        <v>14:52:37.258</v>
      </c>
      <c r="U1858" t="str">
        <f t="shared" ref="U1858:U1921" si="93">"A0F928"</f>
        <v>A0F928</v>
      </c>
      <c r="V1858">
        <v>0</v>
      </c>
      <c r="W1858">
        <v>0</v>
      </c>
      <c r="X1858">
        <v>2</v>
      </c>
      <c r="Z1858">
        <v>0</v>
      </c>
      <c r="AA1858">
        <v>9</v>
      </c>
      <c r="AB1858">
        <v>3</v>
      </c>
      <c r="AC1858">
        <v>0</v>
      </c>
      <c r="AD1858">
        <v>10</v>
      </c>
      <c r="AE1858">
        <v>0</v>
      </c>
      <c r="AF1858">
        <v>3</v>
      </c>
      <c r="AG1858">
        <v>2</v>
      </c>
      <c r="AH1858">
        <v>1</v>
      </c>
      <c r="AI1858" t="s">
        <v>987</v>
      </c>
      <c r="AJ1858">
        <v>35.845685000000003</v>
      </c>
      <c r="AK1858" t="s">
        <v>988</v>
      </c>
      <c r="AL1858">
        <v>-83.993331999999995</v>
      </c>
      <c r="AM1858">
        <v>25</v>
      </c>
      <c r="AN1858">
        <v>1575</v>
      </c>
      <c r="AO1858" t="s">
        <v>118</v>
      </c>
      <c r="AP1858">
        <v>84</v>
      </c>
      <c r="AQ1858">
        <v>87</v>
      </c>
      <c r="AR1858">
        <v>-128</v>
      </c>
      <c r="AZ1858">
        <v>300</v>
      </c>
      <c r="BA1858">
        <v>1</v>
      </c>
      <c r="BB1858" t="str">
        <f t="shared" si="92"/>
        <v xml:space="preserve">N162AM  </v>
      </c>
      <c r="BC1858">
        <v>1</v>
      </c>
      <c r="BE1858">
        <v>0</v>
      </c>
      <c r="BF1858">
        <v>0</v>
      </c>
      <c r="BG1858">
        <v>0</v>
      </c>
      <c r="BH1858">
        <v>1825</v>
      </c>
      <c r="BI1858">
        <v>1</v>
      </c>
      <c r="BJ1858">
        <v>1</v>
      </c>
      <c r="BK1858">
        <v>1</v>
      </c>
      <c r="BL1858">
        <v>0</v>
      </c>
      <c r="BO1858">
        <v>0</v>
      </c>
      <c r="BP1858">
        <v>0</v>
      </c>
      <c r="BW1858" t="str">
        <f>"14:52:37.760"</f>
        <v>14:52:37.760</v>
      </c>
      <c r="CJ1858">
        <v>3</v>
      </c>
      <c r="CK1858">
        <v>2</v>
      </c>
      <c r="CL1858">
        <v>0</v>
      </c>
      <c r="CM1858">
        <v>2</v>
      </c>
      <c r="CN1858">
        <v>0</v>
      </c>
      <c r="CO1858">
        <v>6</v>
      </c>
      <c r="CP1858" t="s">
        <v>119</v>
      </c>
      <c r="CQ1858">
        <v>232</v>
      </c>
      <c r="CR1858">
        <v>1</v>
      </c>
      <c r="CW1858">
        <v>15733452</v>
      </c>
      <c r="CY1858">
        <v>1</v>
      </c>
      <c r="CZ1858">
        <v>0</v>
      </c>
      <c r="DA1858">
        <v>0</v>
      </c>
      <c r="DB1858">
        <v>0</v>
      </c>
      <c r="DC1858">
        <v>0</v>
      </c>
      <c r="DD1858">
        <v>1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>"12/16/2021 14:52:37.961"</f>
        <v>12/16/2021 14:52:37.961</v>
      </c>
      <c r="C1859" t="str">
        <f t="shared" si="91"/>
        <v>FFDFD3C0</v>
      </c>
      <c r="D1859" t="s">
        <v>133</v>
      </c>
      <c r="E1859">
        <v>44</v>
      </c>
      <c r="H1859">
        <v>131</v>
      </c>
      <c r="I1859" t="s">
        <v>134</v>
      </c>
      <c r="J1859" t="s">
        <v>135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>"14:52:37.758"</f>
        <v>14:52:37.758</v>
      </c>
      <c r="T1859" t="str">
        <f>"14:52:37.258"</f>
        <v>14:52:37.258</v>
      </c>
      <c r="U1859" t="str">
        <f t="shared" si="93"/>
        <v>A0F928</v>
      </c>
      <c r="V1859">
        <v>0</v>
      </c>
      <c r="W1859">
        <v>0</v>
      </c>
      <c r="X1859">
        <v>2</v>
      </c>
      <c r="Z1859">
        <v>0</v>
      </c>
      <c r="AA1859">
        <v>9</v>
      </c>
      <c r="AB1859">
        <v>3</v>
      </c>
      <c r="AC1859">
        <v>0</v>
      </c>
      <c r="AD1859">
        <v>10</v>
      </c>
      <c r="AE1859">
        <v>0</v>
      </c>
      <c r="AF1859">
        <v>3</v>
      </c>
      <c r="AG1859">
        <v>2</v>
      </c>
      <c r="AH1859">
        <v>1</v>
      </c>
      <c r="AI1859" t="s">
        <v>987</v>
      </c>
      <c r="AJ1859">
        <v>35.845685000000003</v>
      </c>
      <c r="AK1859" t="s">
        <v>988</v>
      </c>
      <c r="AL1859">
        <v>-83.993331999999995</v>
      </c>
      <c r="AM1859">
        <v>25</v>
      </c>
      <c r="AN1859">
        <v>1575</v>
      </c>
      <c r="AO1859" t="s">
        <v>118</v>
      </c>
      <c r="AP1859">
        <v>84</v>
      </c>
      <c r="AQ1859">
        <v>87</v>
      </c>
      <c r="AR1859">
        <v>-128</v>
      </c>
      <c r="AZ1859">
        <v>300</v>
      </c>
      <c r="BA1859">
        <v>1</v>
      </c>
      <c r="BB1859" t="str">
        <f t="shared" si="92"/>
        <v xml:space="preserve">N162AM  </v>
      </c>
      <c r="BC1859">
        <v>1</v>
      </c>
      <c r="BE1859">
        <v>0</v>
      </c>
      <c r="BF1859">
        <v>0</v>
      </c>
      <c r="BG1859">
        <v>0</v>
      </c>
      <c r="BH1859">
        <v>1825</v>
      </c>
      <c r="BI1859">
        <v>1</v>
      </c>
      <c r="BJ1859">
        <v>1</v>
      </c>
      <c r="BK1859">
        <v>1</v>
      </c>
      <c r="BL1859">
        <v>0</v>
      </c>
      <c r="BO1859">
        <v>0</v>
      </c>
      <c r="BP1859">
        <v>0</v>
      </c>
      <c r="BW1859" t="str">
        <f>"14:52:37.760"</f>
        <v>14:52:37.760</v>
      </c>
      <c r="CJ1859">
        <v>3</v>
      </c>
      <c r="CK1859">
        <v>2</v>
      </c>
      <c r="CL1859">
        <v>0</v>
      </c>
      <c r="CM1859">
        <v>2</v>
      </c>
      <c r="CN1859">
        <v>0</v>
      </c>
      <c r="CO1859">
        <v>6</v>
      </c>
      <c r="CP1859" t="s">
        <v>119</v>
      </c>
      <c r="CQ1859">
        <v>232</v>
      </c>
      <c r="CR1859">
        <v>1</v>
      </c>
      <c r="CW1859">
        <v>15733452</v>
      </c>
      <c r="CY1859">
        <v>1</v>
      </c>
      <c r="CZ1859">
        <v>0</v>
      </c>
      <c r="DA1859">
        <v>1</v>
      </c>
      <c r="DB1859">
        <v>0</v>
      </c>
      <c r="DC1859">
        <v>0</v>
      </c>
      <c r="DD1859">
        <v>1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>"12/16/2021 14:52:38.023"</f>
        <v>12/16/2021 14:52:38.023</v>
      </c>
      <c r="C1860" t="str">
        <f t="shared" si="91"/>
        <v>FFDFD3C0</v>
      </c>
      <c r="D1860" t="s">
        <v>124</v>
      </c>
      <c r="E1860">
        <v>5</v>
      </c>
      <c r="F1860">
        <v>1005</v>
      </c>
      <c r="G1860" t="s">
        <v>114</v>
      </c>
      <c r="J1860" t="s">
        <v>125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>"14:52:37.758"</f>
        <v>14:52:37.758</v>
      </c>
      <c r="T1860" t="str">
        <f>"14:52:37.258"</f>
        <v>14:52:37.258</v>
      </c>
      <c r="U1860" t="str">
        <f t="shared" si="93"/>
        <v>A0F928</v>
      </c>
      <c r="V1860">
        <v>0</v>
      </c>
      <c r="W1860">
        <v>0</v>
      </c>
      <c r="X1860">
        <v>2</v>
      </c>
      <c r="Z1860">
        <v>0</v>
      </c>
      <c r="AA1860">
        <v>9</v>
      </c>
      <c r="AB1860">
        <v>3</v>
      </c>
      <c r="AC1860">
        <v>0</v>
      </c>
      <c r="AD1860">
        <v>10</v>
      </c>
      <c r="AE1860">
        <v>0</v>
      </c>
      <c r="AF1860">
        <v>3</v>
      </c>
      <c r="AG1860">
        <v>2</v>
      </c>
      <c r="AH1860">
        <v>1</v>
      </c>
      <c r="AI1860" t="s">
        <v>987</v>
      </c>
      <c r="AJ1860">
        <v>35.845685000000003</v>
      </c>
      <c r="AK1860" t="s">
        <v>988</v>
      </c>
      <c r="AL1860">
        <v>-83.993331999999995</v>
      </c>
      <c r="AM1860">
        <v>25</v>
      </c>
      <c r="AN1860">
        <v>1575</v>
      </c>
      <c r="AO1860" t="s">
        <v>118</v>
      </c>
      <c r="AP1860">
        <v>84</v>
      </c>
      <c r="AQ1860">
        <v>87</v>
      </c>
      <c r="AR1860">
        <v>-128</v>
      </c>
      <c r="AZ1860">
        <v>300</v>
      </c>
      <c r="BA1860">
        <v>1</v>
      </c>
      <c r="BB1860" t="str">
        <f t="shared" si="92"/>
        <v xml:space="preserve">N162AM  </v>
      </c>
      <c r="BC1860">
        <v>1</v>
      </c>
      <c r="BE1860">
        <v>0</v>
      </c>
      <c r="BF1860">
        <v>0</v>
      </c>
      <c r="BG1860">
        <v>0</v>
      </c>
      <c r="BH1860">
        <v>1825</v>
      </c>
      <c r="BI1860">
        <v>1</v>
      </c>
      <c r="BJ1860">
        <v>1</v>
      </c>
      <c r="BK1860">
        <v>1</v>
      </c>
      <c r="BL1860">
        <v>0</v>
      </c>
      <c r="BO1860">
        <v>0</v>
      </c>
      <c r="BP1860">
        <v>0</v>
      </c>
      <c r="BW1860" t="str">
        <f>"14:52:37.760"</f>
        <v>14:52:37.760</v>
      </c>
      <c r="CJ1860">
        <v>3</v>
      </c>
      <c r="CK1860">
        <v>2</v>
      </c>
      <c r="CL1860">
        <v>0</v>
      </c>
      <c r="CM1860">
        <v>2</v>
      </c>
      <c r="CN1860">
        <v>0</v>
      </c>
      <c r="CO1860">
        <v>6</v>
      </c>
      <c r="CP1860" t="s">
        <v>119</v>
      </c>
      <c r="CQ1860">
        <v>232</v>
      </c>
      <c r="CR1860">
        <v>1</v>
      </c>
      <c r="CW1860">
        <v>15733452</v>
      </c>
      <c r="CY1860">
        <v>1</v>
      </c>
      <c r="CZ1860">
        <v>0</v>
      </c>
      <c r="DA1860">
        <v>1</v>
      </c>
      <c r="DB1860">
        <v>0</v>
      </c>
      <c r="DC1860">
        <v>0</v>
      </c>
      <c r="DD1860">
        <v>1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>"12/16/2021 14:52:38.023"</f>
        <v>12/16/2021 14:52:38.023</v>
      </c>
      <c r="C1861" t="str">
        <f t="shared" si="91"/>
        <v>FFDFD3C0</v>
      </c>
      <c r="D1861" t="s">
        <v>124</v>
      </c>
      <c r="E1861">
        <v>10</v>
      </c>
      <c r="F1861">
        <v>1010</v>
      </c>
      <c r="G1861" t="s">
        <v>130</v>
      </c>
      <c r="J1861" t="s">
        <v>125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>"14:52:37.758"</f>
        <v>14:52:37.758</v>
      </c>
      <c r="T1861" t="str">
        <f>"14:52:37.258"</f>
        <v>14:52:37.258</v>
      </c>
      <c r="U1861" t="str">
        <f t="shared" si="93"/>
        <v>A0F928</v>
      </c>
      <c r="V1861">
        <v>0</v>
      </c>
      <c r="W1861">
        <v>0</v>
      </c>
      <c r="X1861">
        <v>2</v>
      </c>
      <c r="Z1861">
        <v>0</v>
      </c>
      <c r="AA1861">
        <v>9</v>
      </c>
      <c r="AB1861">
        <v>3</v>
      </c>
      <c r="AC1861">
        <v>0</v>
      </c>
      <c r="AD1861">
        <v>10</v>
      </c>
      <c r="AE1861">
        <v>0</v>
      </c>
      <c r="AF1861">
        <v>3</v>
      </c>
      <c r="AG1861">
        <v>2</v>
      </c>
      <c r="AH1861">
        <v>1</v>
      </c>
      <c r="AI1861" t="s">
        <v>987</v>
      </c>
      <c r="AJ1861">
        <v>35.845685000000003</v>
      </c>
      <c r="AK1861" t="s">
        <v>988</v>
      </c>
      <c r="AL1861">
        <v>-83.993331999999995</v>
      </c>
      <c r="AM1861">
        <v>25</v>
      </c>
      <c r="AN1861">
        <v>1575</v>
      </c>
      <c r="AO1861" t="s">
        <v>118</v>
      </c>
      <c r="AP1861">
        <v>84</v>
      </c>
      <c r="AQ1861">
        <v>87</v>
      </c>
      <c r="AR1861">
        <v>-128</v>
      </c>
      <c r="AZ1861">
        <v>300</v>
      </c>
      <c r="BA1861">
        <v>1</v>
      </c>
      <c r="BB1861" t="str">
        <f t="shared" si="92"/>
        <v xml:space="preserve">N162AM  </v>
      </c>
      <c r="BC1861">
        <v>1</v>
      </c>
      <c r="BE1861">
        <v>0</v>
      </c>
      <c r="BF1861">
        <v>0</v>
      </c>
      <c r="BG1861">
        <v>0</v>
      </c>
      <c r="BH1861">
        <v>1825</v>
      </c>
      <c r="BI1861">
        <v>1</v>
      </c>
      <c r="BJ1861">
        <v>1</v>
      </c>
      <c r="BK1861">
        <v>1</v>
      </c>
      <c r="BL1861">
        <v>0</v>
      </c>
      <c r="BO1861">
        <v>0</v>
      </c>
      <c r="BP1861">
        <v>0</v>
      </c>
      <c r="BW1861" t="str">
        <f>"14:52:37.760"</f>
        <v>14:52:37.760</v>
      </c>
      <c r="CJ1861">
        <v>3</v>
      </c>
      <c r="CK1861">
        <v>2</v>
      </c>
      <c r="CL1861">
        <v>0</v>
      </c>
      <c r="CM1861">
        <v>2</v>
      </c>
      <c r="CN1861">
        <v>0</v>
      </c>
      <c r="CO1861">
        <v>6</v>
      </c>
      <c r="CP1861" t="s">
        <v>119</v>
      </c>
      <c r="CQ1861">
        <v>232</v>
      </c>
      <c r="CR1861">
        <v>1</v>
      </c>
      <c r="CW1861">
        <v>15733452</v>
      </c>
      <c r="CY1861">
        <v>1</v>
      </c>
      <c r="CZ1861">
        <v>0</v>
      </c>
      <c r="DA1861">
        <v>1</v>
      </c>
      <c r="DB1861">
        <v>0</v>
      </c>
      <c r="DC1861">
        <v>0</v>
      </c>
      <c r="DD1861">
        <v>1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>"12/16/2021 14:52:38.930"</f>
        <v>12/16/2021 14:52:38.930</v>
      </c>
      <c r="C1862" t="str">
        <f t="shared" si="91"/>
        <v>FFDFD3C0</v>
      </c>
      <c r="D1862" t="s">
        <v>124</v>
      </c>
      <c r="E1862">
        <v>10</v>
      </c>
      <c r="F1862">
        <v>1010</v>
      </c>
      <c r="G1862" t="s">
        <v>130</v>
      </c>
      <c r="J1862" t="s">
        <v>125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>"14:52:38.680"</f>
        <v>14:52:38.680</v>
      </c>
      <c r="T1862" t="str">
        <f>"14:52:38.280"</f>
        <v>14:52:38.280</v>
      </c>
      <c r="U1862" t="str">
        <f t="shared" si="93"/>
        <v>A0F928</v>
      </c>
      <c r="V1862">
        <v>0</v>
      </c>
      <c r="W1862">
        <v>0</v>
      </c>
      <c r="X1862">
        <v>2</v>
      </c>
      <c r="Z1862">
        <v>0</v>
      </c>
      <c r="AA1862">
        <v>9</v>
      </c>
      <c r="AB1862">
        <v>3</v>
      </c>
      <c r="AC1862">
        <v>0</v>
      </c>
      <c r="AD1862">
        <v>10</v>
      </c>
      <c r="AE1862">
        <v>0</v>
      </c>
      <c r="AF1862">
        <v>3</v>
      </c>
      <c r="AG1862">
        <v>2</v>
      </c>
      <c r="AH1862">
        <v>1</v>
      </c>
      <c r="AI1862" t="s">
        <v>989</v>
      </c>
      <c r="AJ1862">
        <v>35.846071000000002</v>
      </c>
      <c r="AK1862" t="s">
        <v>990</v>
      </c>
      <c r="AL1862">
        <v>-83.992881999999994</v>
      </c>
      <c r="AM1862">
        <v>25</v>
      </c>
      <c r="AN1862">
        <v>1575</v>
      </c>
      <c r="AO1862" t="s">
        <v>118</v>
      </c>
      <c r="AP1862">
        <v>84</v>
      </c>
      <c r="AQ1862">
        <v>86</v>
      </c>
      <c r="AR1862">
        <v>0</v>
      </c>
      <c r="AZ1862">
        <v>300</v>
      </c>
      <c r="BA1862">
        <v>1</v>
      </c>
      <c r="BB1862" t="str">
        <f t="shared" si="92"/>
        <v xml:space="preserve">N162AM  </v>
      </c>
      <c r="BC1862">
        <v>1</v>
      </c>
      <c r="BE1862">
        <v>0</v>
      </c>
      <c r="BF1862">
        <v>0</v>
      </c>
      <c r="BG1862">
        <v>0</v>
      </c>
      <c r="BH1862">
        <v>1825</v>
      </c>
      <c r="BI1862">
        <v>1</v>
      </c>
      <c r="BJ1862">
        <v>1</v>
      </c>
      <c r="BK1862">
        <v>1</v>
      </c>
      <c r="BL1862">
        <v>0</v>
      </c>
      <c r="BO1862">
        <v>0</v>
      </c>
      <c r="BP1862">
        <v>0</v>
      </c>
      <c r="BW1862" t="str">
        <f>"14:52:38.686"</f>
        <v>14:52:38.686</v>
      </c>
      <c r="CJ1862">
        <v>3</v>
      </c>
      <c r="CK1862">
        <v>2</v>
      </c>
      <c r="CL1862">
        <v>0</v>
      </c>
      <c r="CM1862">
        <v>2</v>
      </c>
      <c r="CN1862">
        <v>0</v>
      </c>
      <c r="CO1862">
        <v>6</v>
      </c>
      <c r="CP1862" t="s">
        <v>119</v>
      </c>
      <c r="CQ1862">
        <v>232</v>
      </c>
      <c r="CR1862">
        <v>1</v>
      </c>
      <c r="CW1862">
        <v>15734784</v>
      </c>
      <c r="CY1862">
        <v>1</v>
      </c>
      <c r="CZ1862">
        <v>0</v>
      </c>
      <c r="DA1862">
        <v>0</v>
      </c>
      <c r="DB1862">
        <v>0</v>
      </c>
      <c r="DC1862">
        <v>0</v>
      </c>
      <c r="DD1862">
        <v>1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>"12/16/2021 14:52:38.930"</f>
        <v>12/16/2021 14:52:38.930</v>
      </c>
      <c r="C1863" t="str">
        <f t="shared" si="91"/>
        <v>FFDFD3C0</v>
      </c>
      <c r="D1863" t="s">
        <v>113</v>
      </c>
      <c r="E1863">
        <v>8</v>
      </c>
      <c r="H1863">
        <v>176</v>
      </c>
      <c r="I1863" t="s">
        <v>114</v>
      </c>
      <c r="J1863" t="s">
        <v>115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>"14:52:38.680"</f>
        <v>14:52:38.680</v>
      </c>
      <c r="T1863" t="str">
        <f>"14:52:38.280"</f>
        <v>14:52:38.280</v>
      </c>
      <c r="U1863" t="str">
        <f t="shared" si="93"/>
        <v>A0F928</v>
      </c>
      <c r="V1863">
        <v>0</v>
      </c>
      <c r="W1863">
        <v>0</v>
      </c>
      <c r="X1863">
        <v>2</v>
      </c>
      <c r="Z1863">
        <v>0</v>
      </c>
      <c r="AA1863">
        <v>9</v>
      </c>
      <c r="AB1863">
        <v>3</v>
      </c>
      <c r="AC1863">
        <v>0</v>
      </c>
      <c r="AD1863">
        <v>10</v>
      </c>
      <c r="AE1863">
        <v>0</v>
      </c>
      <c r="AF1863">
        <v>3</v>
      </c>
      <c r="AG1863">
        <v>2</v>
      </c>
      <c r="AH1863">
        <v>1</v>
      </c>
      <c r="AI1863" t="s">
        <v>989</v>
      </c>
      <c r="AJ1863">
        <v>35.846071000000002</v>
      </c>
      <c r="AK1863" t="s">
        <v>990</v>
      </c>
      <c r="AL1863">
        <v>-83.992881999999994</v>
      </c>
      <c r="AM1863">
        <v>25</v>
      </c>
      <c r="AN1863">
        <v>1575</v>
      </c>
      <c r="AO1863" t="s">
        <v>118</v>
      </c>
      <c r="AP1863">
        <v>84</v>
      </c>
      <c r="AQ1863">
        <v>86</v>
      </c>
      <c r="AR1863">
        <v>0</v>
      </c>
      <c r="AZ1863">
        <v>300</v>
      </c>
      <c r="BA1863">
        <v>1</v>
      </c>
      <c r="BB1863" t="str">
        <f t="shared" si="92"/>
        <v xml:space="preserve">N162AM  </v>
      </c>
      <c r="BC1863">
        <v>1</v>
      </c>
      <c r="BE1863">
        <v>0</v>
      </c>
      <c r="BF1863">
        <v>0</v>
      </c>
      <c r="BG1863">
        <v>0</v>
      </c>
      <c r="BH1863">
        <v>1825</v>
      </c>
      <c r="BI1863">
        <v>1</v>
      </c>
      <c r="BJ1863">
        <v>1</v>
      </c>
      <c r="BK1863">
        <v>1</v>
      </c>
      <c r="BL1863">
        <v>0</v>
      </c>
      <c r="BO1863">
        <v>0</v>
      </c>
      <c r="BP1863">
        <v>0</v>
      </c>
      <c r="BW1863" t="str">
        <f>"14:52:38.686"</f>
        <v>14:52:38.686</v>
      </c>
      <c r="CJ1863">
        <v>3</v>
      </c>
      <c r="CK1863">
        <v>2</v>
      </c>
      <c r="CL1863">
        <v>0</v>
      </c>
      <c r="CM1863">
        <v>2</v>
      </c>
      <c r="CN1863">
        <v>0</v>
      </c>
      <c r="CO1863">
        <v>6</v>
      </c>
      <c r="CP1863" t="s">
        <v>119</v>
      </c>
      <c r="CQ1863">
        <v>232</v>
      </c>
      <c r="CR1863">
        <v>1</v>
      </c>
      <c r="CW1863">
        <v>15734784</v>
      </c>
      <c r="CY1863">
        <v>1</v>
      </c>
      <c r="CZ1863">
        <v>0</v>
      </c>
      <c r="DA1863">
        <v>1</v>
      </c>
      <c r="DB1863">
        <v>0</v>
      </c>
      <c r="DC1863">
        <v>0</v>
      </c>
      <c r="DD1863">
        <v>1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>"12/16/2021 14:52:38.930"</f>
        <v>12/16/2021 14:52:38.930</v>
      </c>
      <c r="C1864" t="str">
        <f t="shared" si="91"/>
        <v>FFDFD3C0</v>
      </c>
      <c r="D1864" t="s">
        <v>133</v>
      </c>
      <c r="E1864">
        <v>44</v>
      </c>
      <c r="H1864">
        <v>131</v>
      </c>
      <c r="I1864" t="s">
        <v>134</v>
      </c>
      <c r="J1864" t="s">
        <v>135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>"14:52:38.680"</f>
        <v>14:52:38.680</v>
      </c>
      <c r="T1864" t="str">
        <f>"14:52:38.280"</f>
        <v>14:52:38.280</v>
      </c>
      <c r="U1864" t="str">
        <f t="shared" si="93"/>
        <v>A0F928</v>
      </c>
      <c r="V1864">
        <v>0</v>
      </c>
      <c r="W1864">
        <v>0</v>
      </c>
      <c r="X1864">
        <v>2</v>
      </c>
      <c r="Z1864">
        <v>0</v>
      </c>
      <c r="AA1864">
        <v>9</v>
      </c>
      <c r="AB1864">
        <v>3</v>
      </c>
      <c r="AC1864">
        <v>0</v>
      </c>
      <c r="AD1864">
        <v>10</v>
      </c>
      <c r="AE1864">
        <v>0</v>
      </c>
      <c r="AF1864">
        <v>3</v>
      </c>
      <c r="AG1864">
        <v>2</v>
      </c>
      <c r="AH1864">
        <v>1</v>
      </c>
      <c r="AI1864" t="s">
        <v>989</v>
      </c>
      <c r="AJ1864">
        <v>35.846071000000002</v>
      </c>
      <c r="AK1864" t="s">
        <v>990</v>
      </c>
      <c r="AL1864">
        <v>-83.992881999999994</v>
      </c>
      <c r="AM1864">
        <v>25</v>
      </c>
      <c r="AN1864">
        <v>1575</v>
      </c>
      <c r="AO1864" t="s">
        <v>118</v>
      </c>
      <c r="AP1864">
        <v>84</v>
      </c>
      <c r="AQ1864">
        <v>86</v>
      </c>
      <c r="AR1864">
        <v>0</v>
      </c>
      <c r="AZ1864">
        <v>300</v>
      </c>
      <c r="BA1864">
        <v>1</v>
      </c>
      <c r="BB1864" t="str">
        <f t="shared" si="92"/>
        <v xml:space="preserve">N162AM  </v>
      </c>
      <c r="BC1864">
        <v>1</v>
      </c>
      <c r="BE1864">
        <v>0</v>
      </c>
      <c r="BF1864">
        <v>0</v>
      </c>
      <c r="BG1864">
        <v>0</v>
      </c>
      <c r="BH1864">
        <v>1825</v>
      </c>
      <c r="BI1864">
        <v>1</v>
      </c>
      <c r="BJ1864">
        <v>1</v>
      </c>
      <c r="BK1864">
        <v>1</v>
      </c>
      <c r="BL1864">
        <v>0</v>
      </c>
      <c r="BO1864">
        <v>0</v>
      </c>
      <c r="BP1864">
        <v>0</v>
      </c>
      <c r="BW1864" t="str">
        <f>"14:52:38.686"</f>
        <v>14:52:38.686</v>
      </c>
      <c r="CJ1864">
        <v>3</v>
      </c>
      <c r="CK1864">
        <v>2</v>
      </c>
      <c r="CL1864">
        <v>0</v>
      </c>
      <c r="CM1864">
        <v>2</v>
      </c>
      <c r="CN1864">
        <v>0</v>
      </c>
      <c r="CO1864">
        <v>6</v>
      </c>
      <c r="CP1864" t="s">
        <v>119</v>
      </c>
      <c r="CQ1864">
        <v>232</v>
      </c>
      <c r="CR1864">
        <v>1</v>
      </c>
      <c r="CW1864">
        <v>15734784</v>
      </c>
      <c r="CY1864">
        <v>1</v>
      </c>
      <c r="CZ1864">
        <v>0</v>
      </c>
      <c r="DA1864">
        <v>1</v>
      </c>
      <c r="DB1864">
        <v>0</v>
      </c>
      <c r="DC1864">
        <v>0</v>
      </c>
      <c r="DD1864">
        <v>1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>"12/16/2021 14:52:38.930"</f>
        <v>12/16/2021 14:52:38.930</v>
      </c>
      <c r="C1865" t="str">
        <f t="shared" si="91"/>
        <v>FFDFD3C0</v>
      </c>
      <c r="D1865" t="s">
        <v>124</v>
      </c>
      <c r="E1865">
        <v>5</v>
      </c>
      <c r="F1865">
        <v>1005</v>
      </c>
      <c r="G1865" t="s">
        <v>114</v>
      </c>
      <c r="J1865" t="s">
        <v>125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>"14:52:38.680"</f>
        <v>14:52:38.680</v>
      </c>
      <c r="T1865" t="str">
        <f>"14:52:38.280"</f>
        <v>14:52:38.280</v>
      </c>
      <c r="U1865" t="str">
        <f t="shared" si="93"/>
        <v>A0F928</v>
      </c>
      <c r="V1865">
        <v>0</v>
      </c>
      <c r="W1865">
        <v>0</v>
      </c>
      <c r="X1865">
        <v>2</v>
      </c>
      <c r="Z1865">
        <v>0</v>
      </c>
      <c r="AA1865">
        <v>9</v>
      </c>
      <c r="AB1865">
        <v>3</v>
      </c>
      <c r="AC1865">
        <v>0</v>
      </c>
      <c r="AD1865">
        <v>10</v>
      </c>
      <c r="AE1865">
        <v>0</v>
      </c>
      <c r="AF1865">
        <v>3</v>
      </c>
      <c r="AG1865">
        <v>2</v>
      </c>
      <c r="AH1865">
        <v>1</v>
      </c>
      <c r="AI1865" t="s">
        <v>989</v>
      </c>
      <c r="AJ1865">
        <v>35.846071000000002</v>
      </c>
      <c r="AK1865" t="s">
        <v>990</v>
      </c>
      <c r="AL1865">
        <v>-83.992881999999994</v>
      </c>
      <c r="AM1865">
        <v>25</v>
      </c>
      <c r="AN1865">
        <v>1575</v>
      </c>
      <c r="AO1865" t="s">
        <v>118</v>
      </c>
      <c r="AP1865">
        <v>84</v>
      </c>
      <c r="AQ1865">
        <v>86</v>
      </c>
      <c r="AR1865">
        <v>0</v>
      </c>
      <c r="AZ1865">
        <v>300</v>
      </c>
      <c r="BA1865">
        <v>1</v>
      </c>
      <c r="BB1865" t="str">
        <f t="shared" si="92"/>
        <v xml:space="preserve">N162AM  </v>
      </c>
      <c r="BC1865">
        <v>1</v>
      </c>
      <c r="BE1865">
        <v>0</v>
      </c>
      <c r="BF1865">
        <v>0</v>
      </c>
      <c r="BG1865">
        <v>0</v>
      </c>
      <c r="BH1865">
        <v>1825</v>
      </c>
      <c r="BI1865">
        <v>1</v>
      </c>
      <c r="BJ1865">
        <v>1</v>
      </c>
      <c r="BK1865">
        <v>1</v>
      </c>
      <c r="BL1865">
        <v>0</v>
      </c>
      <c r="BO1865">
        <v>0</v>
      </c>
      <c r="BP1865">
        <v>0</v>
      </c>
      <c r="BW1865" t="str">
        <f>"14:52:38.686"</f>
        <v>14:52:38.686</v>
      </c>
      <c r="CJ1865">
        <v>3</v>
      </c>
      <c r="CK1865">
        <v>2</v>
      </c>
      <c r="CL1865">
        <v>0</v>
      </c>
      <c r="CM1865">
        <v>2</v>
      </c>
      <c r="CN1865">
        <v>0</v>
      </c>
      <c r="CO1865">
        <v>6</v>
      </c>
      <c r="CP1865" t="s">
        <v>119</v>
      </c>
      <c r="CQ1865">
        <v>232</v>
      </c>
      <c r="CR1865">
        <v>1</v>
      </c>
      <c r="CW1865">
        <v>15734784</v>
      </c>
      <c r="CY1865">
        <v>1</v>
      </c>
      <c r="CZ1865">
        <v>0</v>
      </c>
      <c r="DA1865">
        <v>1</v>
      </c>
      <c r="DB1865">
        <v>0</v>
      </c>
      <c r="DC1865">
        <v>0</v>
      </c>
      <c r="DD1865">
        <v>1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>"12/16/2021 14:52:39.773"</f>
        <v>12/16/2021 14:52:39.773</v>
      </c>
      <c r="C1866" t="str">
        <f t="shared" si="91"/>
        <v>FFDFD3C0</v>
      </c>
      <c r="D1866" t="s">
        <v>124</v>
      </c>
      <c r="E1866">
        <v>5</v>
      </c>
      <c r="F1866">
        <v>1005</v>
      </c>
      <c r="G1866" t="s">
        <v>114</v>
      </c>
      <c r="J1866" t="s">
        <v>125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>"14:52:39.531"</f>
        <v>14:52:39.531</v>
      </c>
      <c r="T1866" t="str">
        <f>"14:52:39.131"</f>
        <v>14:52:39.131</v>
      </c>
      <c r="U1866" t="str">
        <f t="shared" si="93"/>
        <v>A0F928</v>
      </c>
      <c r="V1866">
        <v>0</v>
      </c>
      <c r="W1866">
        <v>0</v>
      </c>
      <c r="X1866">
        <v>2</v>
      </c>
      <c r="Z1866">
        <v>0</v>
      </c>
      <c r="AA1866">
        <v>9</v>
      </c>
      <c r="AB1866">
        <v>3</v>
      </c>
      <c r="AC1866">
        <v>0</v>
      </c>
      <c r="AD1866">
        <v>10</v>
      </c>
      <c r="AE1866">
        <v>0</v>
      </c>
      <c r="AF1866">
        <v>3</v>
      </c>
      <c r="AG1866">
        <v>2</v>
      </c>
      <c r="AH1866">
        <v>1</v>
      </c>
      <c r="AI1866" t="s">
        <v>991</v>
      </c>
      <c r="AJ1866">
        <v>35.846392999999999</v>
      </c>
      <c r="AK1866" t="s">
        <v>992</v>
      </c>
      <c r="AL1866">
        <v>-83.992517000000007</v>
      </c>
      <c r="AM1866">
        <v>25</v>
      </c>
      <c r="AN1866">
        <v>1575</v>
      </c>
      <c r="AO1866" t="s">
        <v>118</v>
      </c>
      <c r="AP1866">
        <v>84</v>
      </c>
      <c r="AQ1866">
        <v>87</v>
      </c>
      <c r="AR1866">
        <v>64</v>
      </c>
      <c r="AZ1866">
        <v>300</v>
      </c>
      <c r="BA1866">
        <v>1</v>
      </c>
      <c r="BB1866" t="str">
        <f t="shared" si="92"/>
        <v xml:space="preserve">N162AM  </v>
      </c>
      <c r="BC1866">
        <v>1</v>
      </c>
      <c r="BE1866">
        <v>0</v>
      </c>
      <c r="BF1866">
        <v>0</v>
      </c>
      <c r="BG1866">
        <v>0</v>
      </c>
      <c r="BH1866">
        <v>1825</v>
      </c>
      <c r="BI1866">
        <v>1</v>
      </c>
      <c r="BJ1866">
        <v>1</v>
      </c>
      <c r="BK1866">
        <v>1</v>
      </c>
      <c r="BL1866">
        <v>0</v>
      </c>
      <c r="BO1866">
        <v>0</v>
      </c>
      <c r="BP1866">
        <v>0</v>
      </c>
      <c r="BW1866" t="str">
        <f>"14:52:39.535"</f>
        <v>14:52:39.535</v>
      </c>
      <c r="CJ1866">
        <v>3</v>
      </c>
      <c r="CK1866">
        <v>2</v>
      </c>
      <c r="CL1866">
        <v>0</v>
      </c>
      <c r="CM1866">
        <v>2</v>
      </c>
      <c r="CN1866">
        <v>0</v>
      </c>
      <c r="CO1866">
        <v>1</v>
      </c>
      <c r="CP1866" t="s">
        <v>119</v>
      </c>
      <c r="CQ1866">
        <v>216</v>
      </c>
      <c r="CR1866">
        <v>0</v>
      </c>
      <c r="CW1866">
        <v>1110593</v>
      </c>
      <c r="CY1866">
        <v>1</v>
      </c>
      <c r="CZ1866">
        <v>0</v>
      </c>
      <c r="DA1866">
        <v>0</v>
      </c>
      <c r="DB1866">
        <v>0</v>
      </c>
      <c r="DC1866">
        <v>0</v>
      </c>
      <c r="DD1866">
        <v>1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>"12/16/2021 14:52:39.773"</f>
        <v>12/16/2021 14:52:39.773</v>
      </c>
      <c r="C1867" t="str">
        <f t="shared" si="91"/>
        <v>FFDFD3C0</v>
      </c>
      <c r="D1867" t="s">
        <v>113</v>
      </c>
      <c r="E1867">
        <v>8</v>
      </c>
      <c r="H1867">
        <v>176</v>
      </c>
      <c r="I1867" t="s">
        <v>114</v>
      </c>
      <c r="J1867" t="s">
        <v>115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>"14:52:39.531"</f>
        <v>14:52:39.531</v>
      </c>
      <c r="T1867" t="str">
        <f>"14:52:39.131"</f>
        <v>14:52:39.131</v>
      </c>
      <c r="U1867" t="str">
        <f t="shared" si="93"/>
        <v>A0F928</v>
      </c>
      <c r="V1867">
        <v>0</v>
      </c>
      <c r="W1867">
        <v>0</v>
      </c>
      <c r="X1867">
        <v>2</v>
      </c>
      <c r="Z1867">
        <v>0</v>
      </c>
      <c r="AA1867">
        <v>9</v>
      </c>
      <c r="AB1867">
        <v>3</v>
      </c>
      <c r="AC1867">
        <v>0</v>
      </c>
      <c r="AD1867">
        <v>10</v>
      </c>
      <c r="AE1867">
        <v>0</v>
      </c>
      <c r="AF1867">
        <v>3</v>
      </c>
      <c r="AG1867">
        <v>2</v>
      </c>
      <c r="AH1867">
        <v>1</v>
      </c>
      <c r="AI1867" t="s">
        <v>991</v>
      </c>
      <c r="AJ1867">
        <v>35.846392999999999</v>
      </c>
      <c r="AK1867" t="s">
        <v>992</v>
      </c>
      <c r="AL1867">
        <v>-83.992517000000007</v>
      </c>
      <c r="AM1867">
        <v>25</v>
      </c>
      <c r="AN1867">
        <v>1575</v>
      </c>
      <c r="AO1867" t="s">
        <v>118</v>
      </c>
      <c r="AP1867">
        <v>84</v>
      </c>
      <c r="AQ1867">
        <v>87</v>
      </c>
      <c r="AR1867">
        <v>64</v>
      </c>
      <c r="AZ1867">
        <v>300</v>
      </c>
      <c r="BA1867">
        <v>1</v>
      </c>
      <c r="BB1867" t="str">
        <f t="shared" si="92"/>
        <v xml:space="preserve">N162AM  </v>
      </c>
      <c r="BC1867">
        <v>1</v>
      </c>
      <c r="BE1867">
        <v>0</v>
      </c>
      <c r="BF1867">
        <v>0</v>
      </c>
      <c r="BG1867">
        <v>0</v>
      </c>
      <c r="BH1867">
        <v>1825</v>
      </c>
      <c r="BI1867">
        <v>1</v>
      </c>
      <c r="BJ1867">
        <v>1</v>
      </c>
      <c r="BK1867">
        <v>1</v>
      </c>
      <c r="BL1867">
        <v>0</v>
      </c>
      <c r="BO1867">
        <v>0</v>
      </c>
      <c r="BP1867">
        <v>0</v>
      </c>
      <c r="BW1867" t="str">
        <f>"14:52:39.535"</f>
        <v>14:52:39.535</v>
      </c>
      <c r="CJ1867">
        <v>3</v>
      </c>
      <c r="CK1867">
        <v>2</v>
      </c>
      <c r="CL1867">
        <v>0</v>
      </c>
      <c r="CM1867">
        <v>2</v>
      </c>
      <c r="CN1867">
        <v>0</v>
      </c>
      <c r="CO1867">
        <v>1</v>
      </c>
      <c r="CP1867" t="s">
        <v>119</v>
      </c>
      <c r="CQ1867">
        <v>216</v>
      </c>
      <c r="CR1867">
        <v>0</v>
      </c>
      <c r="CW1867">
        <v>1110593</v>
      </c>
      <c r="CY1867">
        <v>1</v>
      </c>
      <c r="CZ1867">
        <v>0</v>
      </c>
      <c r="DA1867">
        <v>1</v>
      </c>
      <c r="DB1867">
        <v>0</v>
      </c>
      <c r="DC1867">
        <v>0</v>
      </c>
      <c r="DD1867">
        <v>1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>"12/16/2021 14:52:39.773"</f>
        <v>12/16/2021 14:52:39.773</v>
      </c>
      <c r="C1868" t="str">
        <f t="shared" si="91"/>
        <v>FFDFD3C0</v>
      </c>
      <c r="D1868" t="s">
        <v>133</v>
      </c>
      <c r="E1868">
        <v>44</v>
      </c>
      <c r="H1868">
        <v>131</v>
      </c>
      <c r="I1868" t="s">
        <v>134</v>
      </c>
      <c r="J1868" t="s">
        <v>135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>"14:52:39.531"</f>
        <v>14:52:39.531</v>
      </c>
      <c r="T1868" t="str">
        <f>"14:52:39.131"</f>
        <v>14:52:39.131</v>
      </c>
      <c r="U1868" t="str">
        <f t="shared" si="93"/>
        <v>A0F928</v>
      </c>
      <c r="V1868">
        <v>0</v>
      </c>
      <c r="W1868">
        <v>0</v>
      </c>
      <c r="X1868">
        <v>2</v>
      </c>
      <c r="Z1868">
        <v>0</v>
      </c>
      <c r="AA1868">
        <v>9</v>
      </c>
      <c r="AB1868">
        <v>3</v>
      </c>
      <c r="AC1868">
        <v>0</v>
      </c>
      <c r="AD1868">
        <v>10</v>
      </c>
      <c r="AE1868">
        <v>0</v>
      </c>
      <c r="AF1868">
        <v>3</v>
      </c>
      <c r="AG1868">
        <v>2</v>
      </c>
      <c r="AH1868">
        <v>1</v>
      </c>
      <c r="AI1868" t="s">
        <v>991</v>
      </c>
      <c r="AJ1868">
        <v>35.846392999999999</v>
      </c>
      <c r="AK1868" t="s">
        <v>992</v>
      </c>
      <c r="AL1868">
        <v>-83.992517000000007</v>
      </c>
      <c r="AM1868">
        <v>25</v>
      </c>
      <c r="AN1868">
        <v>1575</v>
      </c>
      <c r="AO1868" t="s">
        <v>118</v>
      </c>
      <c r="AP1868">
        <v>84</v>
      </c>
      <c r="AQ1868">
        <v>87</v>
      </c>
      <c r="AR1868">
        <v>64</v>
      </c>
      <c r="AZ1868">
        <v>300</v>
      </c>
      <c r="BA1868">
        <v>1</v>
      </c>
      <c r="BB1868" t="str">
        <f t="shared" si="92"/>
        <v xml:space="preserve">N162AM  </v>
      </c>
      <c r="BC1868">
        <v>1</v>
      </c>
      <c r="BE1868">
        <v>0</v>
      </c>
      <c r="BF1868">
        <v>0</v>
      </c>
      <c r="BG1868">
        <v>0</v>
      </c>
      <c r="BH1868">
        <v>1825</v>
      </c>
      <c r="BI1868">
        <v>1</v>
      </c>
      <c r="BJ1868">
        <v>1</v>
      </c>
      <c r="BK1868">
        <v>1</v>
      </c>
      <c r="BL1868">
        <v>0</v>
      </c>
      <c r="BO1868">
        <v>0</v>
      </c>
      <c r="BP1868">
        <v>0</v>
      </c>
      <c r="BW1868" t="str">
        <f>"14:52:39.535"</f>
        <v>14:52:39.535</v>
      </c>
      <c r="CJ1868">
        <v>3</v>
      </c>
      <c r="CK1868">
        <v>2</v>
      </c>
      <c r="CL1868">
        <v>0</v>
      </c>
      <c r="CM1868">
        <v>2</v>
      </c>
      <c r="CN1868">
        <v>0</v>
      </c>
      <c r="CO1868">
        <v>1</v>
      </c>
      <c r="CP1868" t="s">
        <v>119</v>
      </c>
      <c r="CQ1868">
        <v>216</v>
      </c>
      <c r="CR1868">
        <v>0</v>
      </c>
      <c r="CW1868">
        <v>1110593</v>
      </c>
      <c r="CY1868">
        <v>1</v>
      </c>
      <c r="CZ1868">
        <v>0</v>
      </c>
      <c r="DA1868">
        <v>1</v>
      </c>
      <c r="DB1868">
        <v>0</v>
      </c>
      <c r="DC1868">
        <v>0</v>
      </c>
      <c r="DD1868">
        <v>1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>"12/16/2021 14:52:39.820"</f>
        <v>12/16/2021 14:52:39.820</v>
      </c>
      <c r="C1869" t="str">
        <f t="shared" si="91"/>
        <v>FFDFD3C0</v>
      </c>
      <c r="D1869" t="s">
        <v>124</v>
      </c>
      <c r="E1869">
        <v>10</v>
      </c>
      <c r="F1869">
        <v>1010</v>
      </c>
      <c r="G1869" t="s">
        <v>130</v>
      </c>
      <c r="J1869" t="s">
        <v>125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>"14:52:39.531"</f>
        <v>14:52:39.531</v>
      </c>
      <c r="T1869" t="str">
        <f>"14:52:39.131"</f>
        <v>14:52:39.131</v>
      </c>
      <c r="U1869" t="str">
        <f t="shared" si="93"/>
        <v>A0F928</v>
      </c>
      <c r="V1869">
        <v>0</v>
      </c>
      <c r="W1869">
        <v>0</v>
      </c>
      <c r="X1869">
        <v>2</v>
      </c>
      <c r="Z1869">
        <v>0</v>
      </c>
      <c r="AA1869">
        <v>9</v>
      </c>
      <c r="AB1869">
        <v>3</v>
      </c>
      <c r="AC1869">
        <v>0</v>
      </c>
      <c r="AD1869">
        <v>10</v>
      </c>
      <c r="AE1869">
        <v>0</v>
      </c>
      <c r="AF1869">
        <v>3</v>
      </c>
      <c r="AG1869">
        <v>2</v>
      </c>
      <c r="AH1869">
        <v>1</v>
      </c>
      <c r="AI1869" t="s">
        <v>991</v>
      </c>
      <c r="AJ1869">
        <v>35.846392999999999</v>
      </c>
      <c r="AK1869" t="s">
        <v>992</v>
      </c>
      <c r="AL1869">
        <v>-83.992517000000007</v>
      </c>
      <c r="AM1869">
        <v>25</v>
      </c>
      <c r="AN1869">
        <v>1575</v>
      </c>
      <c r="AO1869" t="s">
        <v>118</v>
      </c>
      <c r="AP1869">
        <v>84</v>
      </c>
      <c r="AQ1869">
        <v>87</v>
      </c>
      <c r="AR1869">
        <v>64</v>
      </c>
      <c r="AZ1869">
        <v>300</v>
      </c>
      <c r="BA1869">
        <v>1</v>
      </c>
      <c r="BB1869" t="str">
        <f t="shared" si="92"/>
        <v xml:space="preserve">N162AM  </v>
      </c>
      <c r="BC1869">
        <v>1</v>
      </c>
      <c r="BE1869">
        <v>0</v>
      </c>
      <c r="BF1869">
        <v>0</v>
      </c>
      <c r="BG1869">
        <v>0</v>
      </c>
      <c r="BH1869">
        <v>1825</v>
      </c>
      <c r="BI1869">
        <v>1</v>
      </c>
      <c r="BJ1869">
        <v>1</v>
      </c>
      <c r="BK1869">
        <v>1</v>
      </c>
      <c r="BL1869">
        <v>0</v>
      </c>
      <c r="BO1869">
        <v>0</v>
      </c>
      <c r="BP1869">
        <v>0</v>
      </c>
      <c r="BW1869" t="str">
        <f>"14:52:39.535"</f>
        <v>14:52:39.535</v>
      </c>
      <c r="CJ1869">
        <v>3</v>
      </c>
      <c r="CK1869">
        <v>2</v>
      </c>
      <c r="CL1869">
        <v>0</v>
      </c>
      <c r="CM1869">
        <v>2</v>
      </c>
      <c r="CN1869">
        <v>0</v>
      </c>
      <c r="CO1869">
        <v>1</v>
      </c>
      <c r="CP1869" t="s">
        <v>119</v>
      </c>
      <c r="CQ1869">
        <v>216</v>
      </c>
      <c r="CR1869">
        <v>0</v>
      </c>
      <c r="CW1869">
        <v>1110593</v>
      </c>
      <c r="CY1869">
        <v>1</v>
      </c>
      <c r="CZ1869">
        <v>0</v>
      </c>
      <c r="DA1869">
        <v>1</v>
      </c>
      <c r="DB1869">
        <v>0</v>
      </c>
      <c r="DC1869">
        <v>0</v>
      </c>
      <c r="DD1869">
        <v>1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>"12/16/2021 14:52:40.711"</f>
        <v>12/16/2021 14:52:40.711</v>
      </c>
      <c r="C1870" t="str">
        <f t="shared" si="91"/>
        <v>FFDFD3C0</v>
      </c>
      <c r="D1870" t="s">
        <v>124</v>
      </c>
      <c r="E1870">
        <v>5</v>
      </c>
      <c r="F1870">
        <v>1005</v>
      </c>
      <c r="G1870" t="s">
        <v>114</v>
      </c>
      <c r="J1870" t="s">
        <v>125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>"14:52:40.508"</f>
        <v>14:52:40.508</v>
      </c>
      <c r="T1870" t="str">
        <f>"14:52:39.108"</f>
        <v>14:52:39.108</v>
      </c>
      <c r="U1870" t="str">
        <f t="shared" si="93"/>
        <v>A0F928</v>
      </c>
      <c r="V1870">
        <v>0</v>
      </c>
      <c r="W1870">
        <v>0</v>
      </c>
      <c r="X1870">
        <v>2</v>
      </c>
      <c r="Z1870">
        <v>0</v>
      </c>
      <c r="AA1870">
        <v>9</v>
      </c>
      <c r="AB1870">
        <v>3</v>
      </c>
      <c r="AC1870">
        <v>0</v>
      </c>
      <c r="AD1870">
        <v>10</v>
      </c>
      <c r="AE1870">
        <v>0</v>
      </c>
      <c r="AF1870">
        <v>3</v>
      </c>
      <c r="AG1870">
        <v>2</v>
      </c>
      <c r="AH1870">
        <v>1</v>
      </c>
      <c r="AI1870" t="s">
        <v>993</v>
      </c>
      <c r="AJ1870">
        <v>35.846758000000001</v>
      </c>
      <c r="AK1870" t="s">
        <v>994</v>
      </c>
      <c r="AL1870">
        <v>-83.992065999999994</v>
      </c>
      <c r="AM1870">
        <v>25</v>
      </c>
      <c r="AN1870">
        <v>1575</v>
      </c>
      <c r="AO1870" t="s">
        <v>118</v>
      </c>
      <c r="AP1870">
        <v>84</v>
      </c>
      <c r="AQ1870">
        <v>87</v>
      </c>
      <c r="AR1870">
        <v>64</v>
      </c>
      <c r="AZ1870">
        <v>300</v>
      </c>
      <c r="BA1870">
        <v>1</v>
      </c>
      <c r="BB1870" t="str">
        <f t="shared" si="92"/>
        <v xml:space="preserve">N162AM  </v>
      </c>
      <c r="BC1870">
        <v>1</v>
      </c>
      <c r="BE1870">
        <v>0</v>
      </c>
      <c r="BF1870">
        <v>0</v>
      </c>
      <c r="BG1870">
        <v>0</v>
      </c>
      <c r="BH1870">
        <v>1825</v>
      </c>
      <c r="BI1870">
        <v>1</v>
      </c>
      <c r="BJ1870">
        <v>1</v>
      </c>
      <c r="BK1870">
        <v>1</v>
      </c>
      <c r="BL1870">
        <v>0</v>
      </c>
      <c r="BO1870">
        <v>0</v>
      </c>
      <c r="BP1870">
        <v>0</v>
      </c>
      <c r="BW1870" t="str">
        <f>"14:52:40.511"</f>
        <v>14:52:40.511</v>
      </c>
      <c r="CJ1870">
        <v>3</v>
      </c>
      <c r="CK1870">
        <v>2</v>
      </c>
      <c r="CL1870">
        <v>0</v>
      </c>
      <c r="CM1870">
        <v>2</v>
      </c>
      <c r="CN1870">
        <v>0</v>
      </c>
      <c r="CO1870">
        <v>1</v>
      </c>
      <c r="CP1870" t="s">
        <v>119</v>
      </c>
      <c r="CQ1870">
        <v>216</v>
      </c>
      <c r="CR1870">
        <v>0</v>
      </c>
      <c r="CW1870">
        <v>1111954</v>
      </c>
      <c r="CY1870">
        <v>1</v>
      </c>
      <c r="CZ1870">
        <v>0</v>
      </c>
      <c r="DA1870">
        <v>0</v>
      </c>
      <c r="DB1870">
        <v>0</v>
      </c>
      <c r="DC1870">
        <v>0</v>
      </c>
      <c r="DD1870">
        <v>1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>"12/16/2021 14:52:40.758"</f>
        <v>12/16/2021 14:52:40.758</v>
      </c>
      <c r="C1871" t="str">
        <f t="shared" si="91"/>
        <v>FFDFD3C0</v>
      </c>
      <c r="D1871" t="s">
        <v>113</v>
      </c>
      <c r="E1871">
        <v>8</v>
      </c>
      <c r="H1871">
        <v>176</v>
      </c>
      <c r="I1871" t="s">
        <v>114</v>
      </c>
      <c r="J1871" t="s">
        <v>115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>"14:52:40.508"</f>
        <v>14:52:40.508</v>
      </c>
      <c r="T1871" t="str">
        <f>"14:52:39.108"</f>
        <v>14:52:39.108</v>
      </c>
      <c r="U1871" t="str">
        <f t="shared" si="93"/>
        <v>A0F928</v>
      </c>
      <c r="V1871">
        <v>0</v>
      </c>
      <c r="W1871">
        <v>0</v>
      </c>
      <c r="X1871">
        <v>2</v>
      </c>
      <c r="Z1871">
        <v>0</v>
      </c>
      <c r="AA1871">
        <v>9</v>
      </c>
      <c r="AB1871">
        <v>3</v>
      </c>
      <c r="AC1871">
        <v>0</v>
      </c>
      <c r="AD1871">
        <v>10</v>
      </c>
      <c r="AE1871">
        <v>0</v>
      </c>
      <c r="AF1871">
        <v>3</v>
      </c>
      <c r="AG1871">
        <v>2</v>
      </c>
      <c r="AH1871">
        <v>1</v>
      </c>
      <c r="AI1871" t="s">
        <v>993</v>
      </c>
      <c r="AJ1871">
        <v>35.846758000000001</v>
      </c>
      <c r="AK1871" t="s">
        <v>994</v>
      </c>
      <c r="AL1871">
        <v>-83.992065999999994</v>
      </c>
      <c r="AM1871">
        <v>25</v>
      </c>
      <c r="AN1871">
        <v>1575</v>
      </c>
      <c r="AO1871" t="s">
        <v>118</v>
      </c>
      <c r="AP1871">
        <v>84</v>
      </c>
      <c r="AQ1871">
        <v>87</v>
      </c>
      <c r="AR1871">
        <v>64</v>
      </c>
      <c r="AZ1871">
        <v>300</v>
      </c>
      <c r="BA1871">
        <v>1</v>
      </c>
      <c r="BB1871" t="str">
        <f t="shared" si="92"/>
        <v xml:space="preserve">N162AM  </v>
      </c>
      <c r="BC1871">
        <v>1</v>
      </c>
      <c r="BE1871">
        <v>0</v>
      </c>
      <c r="BF1871">
        <v>0</v>
      </c>
      <c r="BG1871">
        <v>0</v>
      </c>
      <c r="BH1871">
        <v>1825</v>
      </c>
      <c r="BI1871">
        <v>1</v>
      </c>
      <c r="BJ1871">
        <v>1</v>
      </c>
      <c r="BK1871">
        <v>1</v>
      </c>
      <c r="BL1871">
        <v>0</v>
      </c>
      <c r="BO1871">
        <v>0</v>
      </c>
      <c r="BP1871">
        <v>0</v>
      </c>
      <c r="BW1871" t="str">
        <f>"14:52:40.511"</f>
        <v>14:52:40.511</v>
      </c>
      <c r="CJ1871">
        <v>3</v>
      </c>
      <c r="CK1871">
        <v>2</v>
      </c>
      <c r="CL1871">
        <v>0</v>
      </c>
      <c r="CM1871">
        <v>2</v>
      </c>
      <c r="CN1871">
        <v>0</v>
      </c>
      <c r="CO1871">
        <v>1</v>
      </c>
      <c r="CP1871" t="s">
        <v>119</v>
      </c>
      <c r="CQ1871">
        <v>216</v>
      </c>
      <c r="CR1871">
        <v>0</v>
      </c>
      <c r="CW1871">
        <v>1111954</v>
      </c>
      <c r="CY1871">
        <v>1</v>
      </c>
      <c r="CZ1871">
        <v>0</v>
      </c>
      <c r="DA1871">
        <v>1</v>
      </c>
      <c r="DB1871">
        <v>0</v>
      </c>
      <c r="DC1871">
        <v>0</v>
      </c>
      <c r="DD1871">
        <v>1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>"12/16/2021 14:52:40.758"</f>
        <v>12/16/2021 14:52:40.758</v>
      </c>
      <c r="C1872" t="str">
        <f t="shared" si="91"/>
        <v>FFDFD3C0</v>
      </c>
      <c r="D1872" t="s">
        <v>133</v>
      </c>
      <c r="E1872">
        <v>44</v>
      </c>
      <c r="H1872">
        <v>131</v>
      </c>
      <c r="I1872" t="s">
        <v>134</v>
      </c>
      <c r="J1872" t="s">
        <v>135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>"14:52:40.508"</f>
        <v>14:52:40.508</v>
      </c>
      <c r="T1872" t="str">
        <f>"14:52:39.108"</f>
        <v>14:52:39.108</v>
      </c>
      <c r="U1872" t="str">
        <f t="shared" si="93"/>
        <v>A0F928</v>
      </c>
      <c r="V1872">
        <v>0</v>
      </c>
      <c r="W1872">
        <v>0</v>
      </c>
      <c r="X1872">
        <v>2</v>
      </c>
      <c r="Z1872">
        <v>0</v>
      </c>
      <c r="AA1872">
        <v>9</v>
      </c>
      <c r="AB1872">
        <v>3</v>
      </c>
      <c r="AC1872">
        <v>0</v>
      </c>
      <c r="AD1872">
        <v>10</v>
      </c>
      <c r="AE1872">
        <v>0</v>
      </c>
      <c r="AF1872">
        <v>3</v>
      </c>
      <c r="AG1872">
        <v>2</v>
      </c>
      <c r="AH1872">
        <v>1</v>
      </c>
      <c r="AI1872" t="s">
        <v>993</v>
      </c>
      <c r="AJ1872">
        <v>35.846758000000001</v>
      </c>
      <c r="AK1872" t="s">
        <v>994</v>
      </c>
      <c r="AL1872">
        <v>-83.992065999999994</v>
      </c>
      <c r="AM1872">
        <v>25</v>
      </c>
      <c r="AN1872">
        <v>1575</v>
      </c>
      <c r="AO1872" t="s">
        <v>118</v>
      </c>
      <c r="AP1872">
        <v>84</v>
      </c>
      <c r="AQ1872">
        <v>87</v>
      </c>
      <c r="AR1872">
        <v>64</v>
      </c>
      <c r="AZ1872">
        <v>300</v>
      </c>
      <c r="BA1872">
        <v>1</v>
      </c>
      <c r="BB1872" t="str">
        <f t="shared" si="92"/>
        <v xml:space="preserve">N162AM  </v>
      </c>
      <c r="BC1872">
        <v>1</v>
      </c>
      <c r="BE1872">
        <v>0</v>
      </c>
      <c r="BF1872">
        <v>0</v>
      </c>
      <c r="BG1872">
        <v>0</v>
      </c>
      <c r="BH1872">
        <v>1825</v>
      </c>
      <c r="BI1872">
        <v>1</v>
      </c>
      <c r="BJ1872">
        <v>1</v>
      </c>
      <c r="BK1872">
        <v>1</v>
      </c>
      <c r="BL1872">
        <v>0</v>
      </c>
      <c r="BO1872">
        <v>0</v>
      </c>
      <c r="BP1872">
        <v>0</v>
      </c>
      <c r="BW1872" t="str">
        <f>"14:52:40.511"</f>
        <v>14:52:40.511</v>
      </c>
      <c r="CJ1872">
        <v>3</v>
      </c>
      <c r="CK1872">
        <v>2</v>
      </c>
      <c r="CL1872">
        <v>0</v>
      </c>
      <c r="CM1872">
        <v>2</v>
      </c>
      <c r="CN1872">
        <v>0</v>
      </c>
      <c r="CO1872">
        <v>1</v>
      </c>
      <c r="CP1872" t="s">
        <v>119</v>
      </c>
      <c r="CQ1872">
        <v>216</v>
      </c>
      <c r="CR1872">
        <v>0</v>
      </c>
      <c r="CW1872">
        <v>1111954</v>
      </c>
      <c r="CY1872">
        <v>1</v>
      </c>
      <c r="CZ1872">
        <v>0</v>
      </c>
      <c r="DA1872">
        <v>1</v>
      </c>
      <c r="DB1872">
        <v>0</v>
      </c>
      <c r="DC1872">
        <v>0</v>
      </c>
      <c r="DD1872">
        <v>1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>"12/16/2021 14:52:40.758"</f>
        <v>12/16/2021 14:52:40.758</v>
      </c>
      <c r="C1873" t="str">
        <f t="shared" si="91"/>
        <v>FFDFD3C0</v>
      </c>
      <c r="D1873" t="s">
        <v>124</v>
      </c>
      <c r="E1873">
        <v>10</v>
      </c>
      <c r="F1873">
        <v>1010</v>
      </c>
      <c r="G1873" t="s">
        <v>130</v>
      </c>
      <c r="J1873" t="s">
        <v>125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>"14:52:40.508"</f>
        <v>14:52:40.508</v>
      </c>
      <c r="T1873" t="str">
        <f>"14:52:39.108"</f>
        <v>14:52:39.108</v>
      </c>
      <c r="U1873" t="str">
        <f t="shared" si="93"/>
        <v>A0F928</v>
      </c>
      <c r="V1873">
        <v>0</v>
      </c>
      <c r="W1873">
        <v>0</v>
      </c>
      <c r="X1873">
        <v>2</v>
      </c>
      <c r="Z1873">
        <v>0</v>
      </c>
      <c r="AA1873">
        <v>9</v>
      </c>
      <c r="AB1873">
        <v>3</v>
      </c>
      <c r="AC1873">
        <v>0</v>
      </c>
      <c r="AD1873">
        <v>10</v>
      </c>
      <c r="AE1873">
        <v>0</v>
      </c>
      <c r="AF1873">
        <v>3</v>
      </c>
      <c r="AG1873">
        <v>2</v>
      </c>
      <c r="AH1873">
        <v>1</v>
      </c>
      <c r="AI1873" t="s">
        <v>993</v>
      </c>
      <c r="AJ1873">
        <v>35.846758000000001</v>
      </c>
      <c r="AK1873" t="s">
        <v>994</v>
      </c>
      <c r="AL1873">
        <v>-83.992065999999994</v>
      </c>
      <c r="AM1873">
        <v>25</v>
      </c>
      <c r="AN1873">
        <v>1575</v>
      </c>
      <c r="AO1873" t="s">
        <v>118</v>
      </c>
      <c r="AP1873">
        <v>84</v>
      </c>
      <c r="AQ1873">
        <v>87</v>
      </c>
      <c r="AR1873">
        <v>64</v>
      </c>
      <c r="AZ1873">
        <v>300</v>
      </c>
      <c r="BA1873">
        <v>1</v>
      </c>
      <c r="BB1873" t="str">
        <f t="shared" si="92"/>
        <v xml:space="preserve">N162AM  </v>
      </c>
      <c r="BC1873">
        <v>1</v>
      </c>
      <c r="BE1873">
        <v>0</v>
      </c>
      <c r="BF1873">
        <v>0</v>
      </c>
      <c r="BG1873">
        <v>0</v>
      </c>
      <c r="BH1873">
        <v>1825</v>
      </c>
      <c r="BI1873">
        <v>1</v>
      </c>
      <c r="BJ1873">
        <v>1</v>
      </c>
      <c r="BK1873">
        <v>1</v>
      </c>
      <c r="BL1873">
        <v>0</v>
      </c>
      <c r="BO1873">
        <v>0</v>
      </c>
      <c r="BP1873">
        <v>0</v>
      </c>
      <c r="BW1873" t="str">
        <f>"14:52:40.511"</f>
        <v>14:52:40.511</v>
      </c>
      <c r="CJ1873">
        <v>3</v>
      </c>
      <c r="CK1873">
        <v>2</v>
      </c>
      <c r="CL1873">
        <v>0</v>
      </c>
      <c r="CM1873">
        <v>2</v>
      </c>
      <c r="CN1873">
        <v>0</v>
      </c>
      <c r="CO1873">
        <v>1</v>
      </c>
      <c r="CP1873" t="s">
        <v>119</v>
      </c>
      <c r="CQ1873">
        <v>216</v>
      </c>
      <c r="CR1873">
        <v>0</v>
      </c>
      <c r="CW1873">
        <v>1111954</v>
      </c>
      <c r="CY1873">
        <v>1</v>
      </c>
      <c r="CZ1873">
        <v>0</v>
      </c>
      <c r="DA1873">
        <v>1</v>
      </c>
      <c r="DB1873">
        <v>0</v>
      </c>
      <c r="DC1873">
        <v>0</v>
      </c>
      <c r="DD1873">
        <v>1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>"12/16/2021 14:52:42.211"</f>
        <v>12/16/2021 14:52:42.211</v>
      </c>
      <c r="C1874" t="str">
        <f t="shared" si="91"/>
        <v>FFDFD3C0</v>
      </c>
      <c r="D1874" t="s">
        <v>124</v>
      </c>
      <c r="E1874">
        <v>10</v>
      </c>
      <c r="F1874">
        <v>1010</v>
      </c>
      <c r="G1874" t="s">
        <v>130</v>
      </c>
      <c r="J1874" t="s">
        <v>125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>"14:52:42.031"</f>
        <v>14:52:42.031</v>
      </c>
      <c r="T1874" t="str">
        <f>"14:52:41.631"</f>
        <v>14:52:41.631</v>
      </c>
      <c r="U1874" t="str">
        <f t="shared" si="93"/>
        <v>A0F928</v>
      </c>
      <c r="V1874">
        <v>0</v>
      </c>
      <c r="W1874">
        <v>0</v>
      </c>
      <c r="X1874">
        <v>2</v>
      </c>
      <c r="Z1874">
        <v>0</v>
      </c>
      <c r="AA1874">
        <v>9</v>
      </c>
      <c r="AB1874">
        <v>3</v>
      </c>
      <c r="AC1874">
        <v>0</v>
      </c>
      <c r="AD1874">
        <v>10</v>
      </c>
      <c r="AE1874">
        <v>0</v>
      </c>
      <c r="AF1874">
        <v>3</v>
      </c>
      <c r="AG1874">
        <v>2</v>
      </c>
      <c r="AH1874">
        <v>1</v>
      </c>
      <c r="AI1874" t="s">
        <v>995</v>
      </c>
      <c r="AJ1874">
        <v>35.847380000000001</v>
      </c>
      <c r="AK1874" t="s">
        <v>996</v>
      </c>
      <c r="AL1874">
        <v>-83.991337000000001</v>
      </c>
      <c r="AM1874">
        <v>25</v>
      </c>
      <c r="AN1874">
        <v>1575</v>
      </c>
      <c r="AO1874" t="s">
        <v>118</v>
      </c>
      <c r="AP1874">
        <v>84</v>
      </c>
      <c r="AQ1874">
        <v>86</v>
      </c>
      <c r="AR1874">
        <v>0</v>
      </c>
      <c r="AZ1874">
        <v>300</v>
      </c>
      <c r="BA1874">
        <v>1</v>
      </c>
      <c r="BB1874" t="str">
        <f t="shared" si="92"/>
        <v xml:space="preserve">N162AM  </v>
      </c>
      <c r="BC1874">
        <v>1</v>
      </c>
      <c r="BE1874">
        <v>0</v>
      </c>
      <c r="BF1874">
        <v>0</v>
      </c>
      <c r="BG1874">
        <v>0</v>
      </c>
      <c r="BH1874">
        <v>1825</v>
      </c>
      <c r="BI1874">
        <v>1</v>
      </c>
      <c r="BJ1874">
        <v>1</v>
      </c>
      <c r="BK1874">
        <v>1</v>
      </c>
      <c r="BL1874">
        <v>0</v>
      </c>
      <c r="BO1874">
        <v>0</v>
      </c>
      <c r="BP1874">
        <v>0</v>
      </c>
      <c r="BW1874" t="str">
        <f>"14:52:42.033"</f>
        <v>14:52:42.033</v>
      </c>
      <c r="CJ1874">
        <v>3</v>
      </c>
      <c r="CK1874">
        <v>2</v>
      </c>
      <c r="CL1874">
        <v>0</v>
      </c>
      <c r="CM1874">
        <v>2</v>
      </c>
      <c r="CN1874">
        <v>0</v>
      </c>
      <c r="CO1874">
        <v>7</v>
      </c>
      <c r="CP1874" t="s">
        <v>119</v>
      </c>
      <c r="CQ1874">
        <v>232</v>
      </c>
      <c r="CR1874">
        <v>2</v>
      </c>
      <c r="CW1874">
        <v>6953014</v>
      </c>
      <c r="CY1874">
        <v>1</v>
      </c>
      <c r="CZ1874">
        <v>0</v>
      </c>
      <c r="DA1874">
        <v>0</v>
      </c>
      <c r="DB1874">
        <v>0</v>
      </c>
      <c r="DC1874">
        <v>0</v>
      </c>
      <c r="DD1874">
        <v>1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>"12/16/2021 14:52:42.211"</f>
        <v>12/16/2021 14:52:42.211</v>
      </c>
      <c r="C1875" t="str">
        <f t="shared" si="91"/>
        <v>FFDFD3C0</v>
      </c>
      <c r="D1875" t="s">
        <v>113</v>
      </c>
      <c r="E1875">
        <v>8</v>
      </c>
      <c r="H1875">
        <v>176</v>
      </c>
      <c r="I1875" t="s">
        <v>114</v>
      </c>
      <c r="J1875" t="s">
        <v>115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>"14:52:42.031"</f>
        <v>14:52:42.031</v>
      </c>
      <c r="T1875" t="str">
        <f>"14:52:41.631"</f>
        <v>14:52:41.631</v>
      </c>
      <c r="U1875" t="str">
        <f t="shared" si="93"/>
        <v>A0F928</v>
      </c>
      <c r="V1875">
        <v>0</v>
      </c>
      <c r="W1875">
        <v>0</v>
      </c>
      <c r="X1875">
        <v>2</v>
      </c>
      <c r="Z1875">
        <v>0</v>
      </c>
      <c r="AA1875">
        <v>9</v>
      </c>
      <c r="AB1875">
        <v>3</v>
      </c>
      <c r="AC1875">
        <v>0</v>
      </c>
      <c r="AD1875">
        <v>10</v>
      </c>
      <c r="AE1875">
        <v>0</v>
      </c>
      <c r="AF1875">
        <v>3</v>
      </c>
      <c r="AG1875">
        <v>2</v>
      </c>
      <c r="AH1875">
        <v>1</v>
      </c>
      <c r="AI1875" t="s">
        <v>995</v>
      </c>
      <c r="AJ1875">
        <v>35.847380000000001</v>
      </c>
      <c r="AK1875" t="s">
        <v>996</v>
      </c>
      <c r="AL1875">
        <v>-83.991337000000001</v>
      </c>
      <c r="AM1875">
        <v>25</v>
      </c>
      <c r="AN1875">
        <v>1575</v>
      </c>
      <c r="AO1875" t="s">
        <v>118</v>
      </c>
      <c r="AP1875">
        <v>84</v>
      </c>
      <c r="AQ1875">
        <v>86</v>
      </c>
      <c r="AR1875">
        <v>0</v>
      </c>
      <c r="AZ1875">
        <v>300</v>
      </c>
      <c r="BA1875">
        <v>1</v>
      </c>
      <c r="BB1875" t="str">
        <f t="shared" si="92"/>
        <v xml:space="preserve">N162AM  </v>
      </c>
      <c r="BC1875">
        <v>1</v>
      </c>
      <c r="BE1875">
        <v>0</v>
      </c>
      <c r="BF1875">
        <v>0</v>
      </c>
      <c r="BG1875">
        <v>0</v>
      </c>
      <c r="BH1875">
        <v>1825</v>
      </c>
      <c r="BI1875">
        <v>1</v>
      </c>
      <c r="BJ1875">
        <v>1</v>
      </c>
      <c r="BK1875">
        <v>1</v>
      </c>
      <c r="BL1875">
        <v>0</v>
      </c>
      <c r="BO1875">
        <v>0</v>
      </c>
      <c r="BP1875">
        <v>0</v>
      </c>
      <c r="BW1875" t="str">
        <f>"14:52:42.033"</f>
        <v>14:52:42.033</v>
      </c>
      <c r="CJ1875">
        <v>3</v>
      </c>
      <c r="CK1875">
        <v>2</v>
      </c>
      <c r="CL1875">
        <v>0</v>
      </c>
      <c r="CM1875">
        <v>2</v>
      </c>
      <c r="CN1875">
        <v>0</v>
      </c>
      <c r="CO1875">
        <v>7</v>
      </c>
      <c r="CP1875" t="s">
        <v>119</v>
      </c>
      <c r="CQ1875">
        <v>232</v>
      </c>
      <c r="CR1875">
        <v>2</v>
      </c>
      <c r="CW1875">
        <v>6953014</v>
      </c>
      <c r="CY1875">
        <v>1</v>
      </c>
      <c r="CZ1875">
        <v>0</v>
      </c>
      <c r="DA1875">
        <v>1</v>
      </c>
      <c r="DB1875">
        <v>0</v>
      </c>
      <c r="DC1875">
        <v>0</v>
      </c>
      <c r="DD1875">
        <v>1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>"12/16/2021 14:52:42.211"</f>
        <v>12/16/2021 14:52:42.211</v>
      </c>
      <c r="C1876" t="str">
        <f t="shared" si="91"/>
        <v>FFDFD3C0</v>
      </c>
      <c r="D1876" t="s">
        <v>133</v>
      </c>
      <c r="E1876">
        <v>44</v>
      </c>
      <c r="H1876">
        <v>131</v>
      </c>
      <c r="I1876" t="s">
        <v>134</v>
      </c>
      <c r="J1876" t="s">
        <v>135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>"14:52:42.031"</f>
        <v>14:52:42.031</v>
      </c>
      <c r="T1876" t="str">
        <f>"14:52:41.631"</f>
        <v>14:52:41.631</v>
      </c>
      <c r="U1876" t="str">
        <f t="shared" si="93"/>
        <v>A0F928</v>
      </c>
      <c r="V1876">
        <v>0</v>
      </c>
      <c r="W1876">
        <v>0</v>
      </c>
      <c r="X1876">
        <v>2</v>
      </c>
      <c r="Z1876">
        <v>0</v>
      </c>
      <c r="AA1876">
        <v>9</v>
      </c>
      <c r="AB1876">
        <v>3</v>
      </c>
      <c r="AC1876">
        <v>0</v>
      </c>
      <c r="AD1876">
        <v>10</v>
      </c>
      <c r="AE1876">
        <v>0</v>
      </c>
      <c r="AF1876">
        <v>3</v>
      </c>
      <c r="AG1876">
        <v>2</v>
      </c>
      <c r="AH1876">
        <v>1</v>
      </c>
      <c r="AI1876" t="s">
        <v>995</v>
      </c>
      <c r="AJ1876">
        <v>35.847380000000001</v>
      </c>
      <c r="AK1876" t="s">
        <v>996</v>
      </c>
      <c r="AL1876">
        <v>-83.991337000000001</v>
      </c>
      <c r="AM1876">
        <v>25</v>
      </c>
      <c r="AN1876">
        <v>1575</v>
      </c>
      <c r="AO1876" t="s">
        <v>118</v>
      </c>
      <c r="AP1876">
        <v>84</v>
      </c>
      <c r="AQ1876">
        <v>86</v>
      </c>
      <c r="AR1876">
        <v>0</v>
      </c>
      <c r="AZ1876">
        <v>300</v>
      </c>
      <c r="BA1876">
        <v>1</v>
      </c>
      <c r="BB1876" t="str">
        <f t="shared" si="92"/>
        <v xml:space="preserve">N162AM  </v>
      </c>
      <c r="BC1876">
        <v>1</v>
      </c>
      <c r="BE1876">
        <v>0</v>
      </c>
      <c r="BF1876">
        <v>0</v>
      </c>
      <c r="BG1876">
        <v>0</v>
      </c>
      <c r="BH1876">
        <v>1825</v>
      </c>
      <c r="BI1876">
        <v>1</v>
      </c>
      <c r="BJ1876">
        <v>1</v>
      </c>
      <c r="BK1876">
        <v>1</v>
      </c>
      <c r="BL1876">
        <v>0</v>
      </c>
      <c r="BO1876">
        <v>0</v>
      </c>
      <c r="BP1876">
        <v>0</v>
      </c>
      <c r="BW1876" t="str">
        <f>"14:52:42.033"</f>
        <v>14:52:42.033</v>
      </c>
      <c r="CJ1876">
        <v>3</v>
      </c>
      <c r="CK1876">
        <v>2</v>
      </c>
      <c r="CL1876">
        <v>0</v>
      </c>
      <c r="CM1876">
        <v>2</v>
      </c>
      <c r="CN1876">
        <v>0</v>
      </c>
      <c r="CO1876">
        <v>7</v>
      </c>
      <c r="CP1876" t="s">
        <v>119</v>
      </c>
      <c r="CQ1876">
        <v>232</v>
      </c>
      <c r="CR1876">
        <v>2</v>
      </c>
      <c r="CW1876">
        <v>6953014</v>
      </c>
      <c r="CY1876">
        <v>1</v>
      </c>
      <c r="CZ1876">
        <v>0</v>
      </c>
      <c r="DA1876">
        <v>1</v>
      </c>
      <c r="DB1876">
        <v>0</v>
      </c>
      <c r="DC1876">
        <v>0</v>
      </c>
      <c r="DD1876">
        <v>1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>"12/16/2021 14:52:42.242"</f>
        <v>12/16/2021 14:52:42.242</v>
      </c>
      <c r="C1877" t="str">
        <f t="shared" si="91"/>
        <v>FFDFD3C0</v>
      </c>
      <c r="D1877" t="s">
        <v>124</v>
      </c>
      <c r="E1877">
        <v>5</v>
      </c>
      <c r="F1877">
        <v>1005</v>
      </c>
      <c r="G1877" t="s">
        <v>114</v>
      </c>
      <c r="J1877" t="s">
        <v>125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>"14:52:42.031"</f>
        <v>14:52:42.031</v>
      </c>
      <c r="T1877" t="str">
        <f>"14:52:41.631"</f>
        <v>14:52:41.631</v>
      </c>
      <c r="U1877" t="str">
        <f t="shared" si="93"/>
        <v>A0F928</v>
      </c>
      <c r="V1877">
        <v>0</v>
      </c>
      <c r="W1877">
        <v>0</v>
      </c>
      <c r="X1877">
        <v>2</v>
      </c>
      <c r="Z1877">
        <v>0</v>
      </c>
      <c r="AA1877">
        <v>9</v>
      </c>
      <c r="AB1877">
        <v>3</v>
      </c>
      <c r="AC1877">
        <v>0</v>
      </c>
      <c r="AD1877">
        <v>10</v>
      </c>
      <c r="AE1877">
        <v>0</v>
      </c>
      <c r="AF1877">
        <v>3</v>
      </c>
      <c r="AG1877">
        <v>2</v>
      </c>
      <c r="AH1877">
        <v>1</v>
      </c>
      <c r="AI1877" t="s">
        <v>995</v>
      </c>
      <c r="AJ1877">
        <v>35.847380000000001</v>
      </c>
      <c r="AK1877" t="s">
        <v>996</v>
      </c>
      <c r="AL1877">
        <v>-83.991337000000001</v>
      </c>
      <c r="AM1877">
        <v>25</v>
      </c>
      <c r="AN1877">
        <v>1575</v>
      </c>
      <c r="AO1877" t="s">
        <v>118</v>
      </c>
      <c r="AP1877">
        <v>84</v>
      </c>
      <c r="AQ1877">
        <v>86</v>
      </c>
      <c r="AR1877">
        <v>0</v>
      </c>
      <c r="AZ1877">
        <v>300</v>
      </c>
      <c r="BA1877">
        <v>1</v>
      </c>
      <c r="BB1877" t="str">
        <f t="shared" si="92"/>
        <v xml:space="preserve">N162AM  </v>
      </c>
      <c r="BC1877">
        <v>1</v>
      </c>
      <c r="BE1877">
        <v>0</v>
      </c>
      <c r="BF1877">
        <v>0</v>
      </c>
      <c r="BG1877">
        <v>0</v>
      </c>
      <c r="BH1877">
        <v>1825</v>
      </c>
      <c r="BI1877">
        <v>1</v>
      </c>
      <c r="BJ1877">
        <v>1</v>
      </c>
      <c r="BK1877">
        <v>1</v>
      </c>
      <c r="BL1877">
        <v>0</v>
      </c>
      <c r="BO1877">
        <v>0</v>
      </c>
      <c r="BP1877">
        <v>0</v>
      </c>
      <c r="BW1877" t="str">
        <f>"14:52:42.033"</f>
        <v>14:52:42.033</v>
      </c>
      <c r="CJ1877">
        <v>3</v>
      </c>
      <c r="CK1877">
        <v>2</v>
      </c>
      <c r="CL1877">
        <v>0</v>
      </c>
      <c r="CM1877">
        <v>2</v>
      </c>
      <c r="CN1877">
        <v>0</v>
      </c>
      <c r="CO1877">
        <v>7</v>
      </c>
      <c r="CP1877" t="s">
        <v>119</v>
      </c>
      <c r="CQ1877">
        <v>232</v>
      </c>
      <c r="CR1877">
        <v>2</v>
      </c>
      <c r="CW1877">
        <v>6953014</v>
      </c>
      <c r="CY1877">
        <v>1</v>
      </c>
      <c r="CZ1877">
        <v>0</v>
      </c>
      <c r="DA1877">
        <v>1</v>
      </c>
      <c r="DB1877">
        <v>0</v>
      </c>
      <c r="DC1877">
        <v>0</v>
      </c>
      <c r="DD1877">
        <v>1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>"12/16/2021 14:52:43.180"</f>
        <v>12/16/2021 14:52:43.180</v>
      </c>
      <c r="C1878" t="str">
        <f t="shared" si="91"/>
        <v>FFDFD3C0</v>
      </c>
      <c r="D1878" t="s">
        <v>113</v>
      </c>
      <c r="E1878">
        <v>8</v>
      </c>
      <c r="H1878">
        <v>176</v>
      </c>
      <c r="I1878" t="s">
        <v>114</v>
      </c>
      <c r="J1878" t="s">
        <v>115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>"14:52:42.984"</f>
        <v>14:52:42.984</v>
      </c>
      <c r="T1878" t="str">
        <f>"14:52:42.484"</f>
        <v>14:52:42.484</v>
      </c>
      <c r="U1878" t="str">
        <f t="shared" si="93"/>
        <v>A0F928</v>
      </c>
      <c r="V1878">
        <v>0</v>
      </c>
      <c r="W1878">
        <v>0</v>
      </c>
      <c r="X1878">
        <v>2</v>
      </c>
      <c r="Z1878">
        <v>0</v>
      </c>
      <c r="AA1878">
        <v>9</v>
      </c>
      <c r="AB1878">
        <v>3</v>
      </c>
      <c r="AC1878">
        <v>0</v>
      </c>
      <c r="AD1878">
        <v>10</v>
      </c>
      <c r="AE1878">
        <v>0</v>
      </c>
      <c r="AF1878">
        <v>3</v>
      </c>
      <c r="AG1878">
        <v>2</v>
      </c>
      <c r="AH1878">
        <v>1</v>
      </c>
      <c r="AI1878" t="s">
        <v>997</v>
      </c>
      <c r="AJ1878">
        <v>35.847745000000003</v>
      </c>
      <c r="AK1878" t="s">
        <v>238</v>
      </c>
      <c r="AL1878">
        <v>-83.990821999999994</v>
      </c>
      <c r="AM1878">
        <v>25</v>
      </c>
      <c r="AN1878">
        <v>1575</v>
      </c>
      <c r="AO1878" t="s">
        <v>118</v>
      </c>
      <c r="AP1878">
        <v>84</v>
      </c>
      <c r="AQ1878">
        <v>85</v>
      </c>
      <c r="AR1878">
        <v>0</v>
      </c>
      <c r="AZ1878">
        <v>300</v>
      </c>
      <c r="BA1878">
        <v>1</v>
      </c>
      <c r="BB1878" t="str">
        <f t="shared" si="92"/>
        <v xml:space="preserve">N162AM  </v>
      </c>
      <c r="BC1878">
        <v>1</v>
      </c>
      <c r="BE1878">
        <v>0</v>
      </c>
      <c r="BF1878">
        <v>0</v>
      </c>
      <c r="BG1878">
        <v>0</v>
      </c>
      <c r="BH1878">
        <v>1825</v>
      </c>
      <c r="BI1878">
        <v>1</v>
      </c>
      <c r="BJ1878">
        <v>1</v>
      </c>
      <c r="BK1878">
        <v>1</v>
      </c>
      <c r="BL1878">
        <v>0</v>
      </c>
      <c r="BO1878">
        <v>0</v>
      </c>
      <c r="BP1878">
        <v>0</v>
      </c>
      <c r="BW1878" t="str">
        <f>"14:52:42.985"</f>
        <v>14:52:42.985</v>
      </c>
      <c r="CJ1878">
        <v>3</v>
      </c>
      <c r="CK1878">
        <v>2</v>
      </c>
      <c r="CL1878">
        <v>0</v>
      </c>
      <c r="CM1878">
        <v>2</v>
      </c>
      <c r="CN1878">
        <v>0</v>
      </c>
      <c r="CO1878">
        <v>7</v>
      </c>
      <c r="CP1878" t="s">
        <v>119</v>
      </c>
      <c r="CQ1878">
        <v>232</v>
      </c>
      <c r="CR1878">
        <v>1</v>
      </c>
      <c r="CW1878">
        <v>15741136</v>
      </c>
      <c r="CY1878">
        <v>1</v>
      </c>
      <c r="CZ1878">
        <v>0</v>
      </c>
      <c r="DA1878">
        <v>0</v>
      </c>
      <c r="DB1878">
        <v>0</v>
      </c>
      <c r="DC1878">
        <v>0</v>
      </c>
      <c r="DD1878">
        <v>1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>"12/16/2021 14:52:43.180"</f>
        <v>12/16/2021 14:52:43.180</v>
      </c>
      <c r="C1879" t="str">
        <f t="shared" si="91"/>
        <v>FFDFD3C0</v>
      </c>
      <c r="D1879" t="s">
        <v>133</v>
      </c>
      <c r="E1879">
        <v>44</v>
      </c>
      <c r="H1879">
        <v>131</v>
      </c>
      <c r="I1879" t="s">
        <v>134</v>
      </c>
      <c r="J1879" t="s">
        <v>135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>"14:52:42.984"</f>
        <v>14:52:42.984</v>
      </c>
      <c r="T1879" t="str">
        <f>"14:52:42.484"</f>
        <v>14:52:42.484</v>
      </c>
      <c r="U1879" t="str">
        <f t="shared" si="93"/>
        <v>A0F928</v>
      </c>
      <c r="V1879">
        <v>0</v>
      </c>
      <c r="W1879">
        <v>0</v>
      </c>
      <c r="X1879">
        <v>2</v>
      </c>
      <c r="Z1879">
        <v>0</v>
      </c>
      <c r="AA1879">
        <v>9</v>
      </c>
      <c r="AB1879">
        <v>3</v>
      </c>
      <c r="AC1879">
        <v>0</v>
      </c>
      <c r="AD1879">
        <v>10</v>
      </c>
      <c r="AE1879">
        <v>0</v>
      </c>
      <c r="AF1879">
        <v>3</v>
      </c>
      <c r="AG1879">
        <v>2</v>
      </c>
      <c r="AH1879">
        <v>1</v>
      </c>
      <c r="AI1879" t="s">
        <v>997</v>
      </c>
      <c r="AJ1879">
        <v>35.847745000000003</v>
      </c>
      <c r="AK1879" t="s">
        <v>238</v>
      </c>
      <c r="AL1879">
        <v>-83.990821999999994</v>
      </c>
      <c r="AM1879">
        <v>25</v>
      </c>
      <c r="AN1879">
        <v>1575</v>
      </c>
      <c r="AO1879" t="s">
        <v>118</v>
      </c>
      <c r="AP1879">
        <v>84</v>
      </c>
      <c r="AQ1879">
        <v>85</v>
      </c>
      <c r="AR1879">
        <v>0</v>
      </c>
      <c r="AZ1879">
        <v>300</v>
      </c>
      <c r="BA1879">
        <v>1</v>
      </c>
      <c r="BB1879" t="str">
        <f t="shared" si="92"/>
        <v xml:space="preserve">N162AM  </v>
      </c>
      <c r="BC1879">
        <v>1</v>
      </c>
      <c r="BE1879">
        <v>0</v>
      </c>
      <c r="BF1879">
        <v>0</v>
      </c>
      <c r="BG1879">
        <v>0</v>
      </c>
      <c r="BH1879">
        <v>1825</v>
      </c>
      <c r="BI1879">
        <v>1</v>
      </c>
      <c r="BJ1879">
        <v>1</v>
      </c>
      <c r="BK1879">
        <v>1</v>
      </c>
      <c r="BL1879">
        <v>0</v>
      </c>
      <c r="BO1879">
        <v>0</v>
      </c>
      <c r="BP1879">
        <v>0</v>
      </c>
      <c r="BW1879" t="str">
        <f>"14:52:42.985"</f>
        <v>14:52:42.985</v>
      </c>
      <c r="CJ1879">
        <v>3</v>
      </c>
      <c r="CK1879">
        <v>2</v>
      </c>
      <c r="CL1879">
        <v>0</v>
      </c>
      <c r="CM1879">
        <v>2</v>
      </c>
      <c r="CN1879">
        <v>0</v>
      </c>
      <c r="CO1879">
        <v>7</v>
      </c>
      <c r="CP1879" t="s">
        <v>119</v>
      </c>
      <c r="CQ1879">
        <v>232</v>
      </c>
      <c r="CR1879">
        <v>1</v>
      </c>
      <c r="CW1879">
        <v>15741136</v>
      </c>
      <c r="CY1879">
        <v>1</v>
      </c>
      <c r="CZ1879">
        <v>0</v>
      </c>
      <c r="DA1879">
        <v>1</v>
      </c>
      <c r="DB1879">
        <v>0</v>
      </c>
      <c r="DC1879">
        <v>0</v>
      </c>
      <c r="DD1879">
        <v>1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>"12/16/2021 14:52:43.180"</f>
        <v>12/16/2021 14:52:43.180</v>
      </c>
      <c r="C1880" t="str">
        <f t="shared" si="91"/>
        <v>FFDFD3C0</v>
      </c>
      <c r="D1880" t="s">
        <v>124</v>
      </c>
      <c r="E1880">
        <v>5</v>
      </c>
      <c r="F1880">
        <v>1005</v>
      </c>
      <c r="G1880" t="s">
        <v>114</v>
      </c>
      <c r="J1880" t="s">
        <v>125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>"14:52:42.984"</f>
        <v>14:52:42.984</v>
      </c>
      <c r="T1880" t="str">
        <f>"14:52:42.484"</f>
        <v>14:52:42.484</v>
      </c>
      <c r="U1880" t="str">
        <f t="shared" si="93"/>
        <v>A0F928</v>
      </c>
      <c r="V1880">
        <v>0</v>
      </c>
      <c r="W1880">
        <v>0</v>
      </c>
      <c r="X1880">
        <v>2</v>
      </c>
      <c r="Z1880">
        <v>0</v>
      </c>
      <c r="AA1880">
        <v>9</v>
      </c>
      <c r="AB1880">
        <v>3</v>
      </c>
      <c r="AC1880">
        <v>0</v>
      </c>
      <c r="AD1880">
        <v>10</v>
      </c>
      <c r="AE1880">
        <v>0</v>
      </c>
      <c r="AF1880">
        <v>3</v>
      </c>
      <c r="AG1880">
        <v>2</v>
      </c>
      <c r="AH1880">
        <v>1</v>
      </c>
      <c r="AI1880" t="s">
        <v>997</v>
      </c>
      <c r="AJ1880">
        <v>35.847745000000003</v>
      </c>
      <c r="AK1880" t="s">
        <v>238</v>
      </c>
      <c r="AL1880">
        <v>-83.990821999999994</v>
      </c>
      <c r="AM1880">
        <v>25</v>
      </c>
      <c r="AN1880">
        <v>1575</v>
      </c>
      <c r="AO1880" t="s">
        <v>118</v>
      </c>
      <c r="AP1880">
        <v>84</v>
      </c>
      <c r="AQ1880">
        <v>85</v>
      </c>
      <c r="AR1880">
        <v>0</v>
      </c>
      <c r="AZ1880">
        <v>300</v>
      </c>
      <c r="BA1880">
        <v>1</v>
      </c>
      <c r="BB1880" t="str">
        <f t="shared" si="92"/>
        <v xml:space="preserve">N162AM  </v>
      </c>
      <c r="BC1880">
        <v>1</v>
      </c>
      <c r="BE1880">
        <v>0</v>
      </c>
      <c r="BF1880">
        <v>0</v>
      </c>
      <c r="BG1880">
        <v>0</v>
      </c>
      <c r="BH1880">
        <v>1825</v>
      </c>
      <c r="BI1880">
        <v>1</v>
      </c>
      <c r="BJ1880">
        <v>1</v>
      </c>
      <c r="BK1880">
        <v>1</v>
      </c>
      <c r="BL1880">
        <v>0</v>
      </c>
      <c r="BO1880">
        <v>0</v>
      </c>
      <c r="BP1880">
        <v>0</v>
      </c>
      <c r="BW1880" t="str">
        <f>"14:52:42.985"</f>
        <v>14:52:42.985</v>
      </c>
      <c r="CJ1880">
        <v>3</v>
      </c>
      <c r="CK1880">
        <v>2</v>
      </c>
      <c r="CL1880">
        <v>0</v>
      </c>
      <c r="CM1880">
        <v>2</v>
      </c>
      <c r="CN1880">
        <v>0</v>
      </c>
      <c r="CO1880">
        <v>7</v>
      </c>
      <c r="CP1880" t="s">
        <v>119</v>
      </c>
      <c r="CQ1880">
        <v>232</v>
      </c>
      <c r="CR1880">
        <v>1</v>
      </c>
      <c r="CW1880">
        <v>15741136</v>
      </c>
      <c r="CY1880">
        <v>1</v>
      </c>
      <c r="CZ1880">
        <v>0</v>
      </c>
      <c r="DA1880">
        <v>1</v>
      </c>
      <c r="DB1880">
        <v>0</v>
      </c>
      <c r="DC1880">
        <v>0</v>
      </c>
      <c r="DD1880">
        <v>1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>"12/16/2021 14:52:43.227"</f>
        <v>12/16/2021 14:52:43.227</v>
      </c>
      <c r="C1881" t="str">
        <f t="shared" si="91"/>
        <v>FFDFD3C0</v>
      </c>
      <c r="D1881" t="s">
        <v>124</v>
      </c>
      <c r="E1881">
        <v>10</v>
      </c>
      <c r="F1881">
        <v>1010</v>
      </c>
      <c r="G1881" t="s">
        <v>130</v>
      </c>
      <c r="J1881" t="s">
        <v>125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>"14:52:42.984"</f>
        <v>14:52:42.984</v>
      </c>
      <c r="T1881" t="str">
        <f>"14:52:42.484"</f>
        <v>14:52:42.484</v>
      </c>
      <c r="U1881" t="str">
        <f t="shared" si="93"/>
        <v>A0F928</v>
      </c>
      <c r="V1881">
        <v>0</v>
      </c>
      <c r="W1881">
        <v>0</v>
      </c>
      <c r="X1881">
        <v>2</v>
      </c>
      <c r="Z1881">
        <v>0</v>
      </c>
      <c r="AA1881">
        <v>9</v>
      </c>
      <c r="AB1881">
        <v>3</v>
      </c>
      <c r="AC1881">
        <v>0</v>
      </c>
      <c r="AD1881">
        <v>10</v>
      </c>
      <c r="AE1881">
        <v>0</v>
      </c>
      <c r="AF1881">
        <v>3</v>
      </c>
      <c r="AG1881">
        <v>2</v>
      </c>
      <c r="AH1881">
        <v>1</v>
      </c>
      <c r="AI1881" t="s">
        <v>997</v>
      </c>
      <c r="AJ1881">
        <v>35.847745000000003</v>
      </c>
      <c r="AK1881" t="s">
        <v>238</v>
      </c>
      <c r="AL1881">
        <v>-83.990821999999994</v>
      </c>
      <c r="AM1881">
        <v>25</v>
      </c>
      <c r="AN1881">
        <v>1575</v>
      </c>
      <c r="AO1881" t="s">
        <v>118</v>
      </c>
      <c r="AP1881">
        <v>84</v>
      </c>
      <c r="AQ1881">
        <v>85</v>
      </c>
      <c r="AR1881">
        <v>0</v>
      </c>
      <c r="AZ1881">
        <v>300</v>
      </c>
      <c r="BA1881">
        <v>1</v>
      </c>
      <c r="BB1881" t="str">
        <f t="shared" si="92"/>
        <v xml:space="preserve">N162AM  </v>
      </c>
      <c r="BC1881">
        <v>1</v>
      </c>
      <c r="BE1881">
        <v>0</v>
      </c>
      <c r="BF1881">
        <v>0</v>
      </c>
      <c r="BG1881">
        <v>0</v>
      </c>
      <c r="BH1881">
        <v>1825</v>
      </c>
      <c r="BI1881">
        <v>1</v>
      </c>
      <c r="BJ1881">
        <v>1</v>
      </c>
      <c r="BK1881">
        <v>1</v>
      </c>
      <c r="BL1881">
        <v>0</v>
      </c>
      <c r="BO1881">
        <v>0</v>
      </c>
      <c r="BP1881">
        <v>0</v>
      </c>
      <c r="BW1881" t="str">
        <f>"14:52:42.985"</f>
        <v>14:52:42.985</v>
      </c>
      <c r="CJ1881">
        <v>3</v>
      </c>
      <c r="CK1881">
        <v>2</v>
      </c>
      <c r="CL1881">
        <v>0</v>
      </c>
      <c r="CM1881">
        <v>2</v>
      </c>
      <c r="CN1881">
        <v>0</v>
      </c>
      <c r="CO1881">
        <v>7</v>
      </c>
      <c r="CP1881" t="s">
        <v>119</v>
      </c>
      <c r="CQ1881">
        <v>232</v>
      </c>
      <c r="CR1881">
        <v>1</v>
      </c>
      <c r="CW1881">
        <v>15741136</v>
      </c>
      <c r="CY1881">
        <v>1</v>
      </c>
      <c r="CZ1881">
        <v>0</v>
      </c>
      <c r="DA1881">
        <v>1</v>
      </c>
      <c r="DB1881">
        <v>0</v>
      </c>
      <c r="DC1881">
        <v>0</v>
      </c>
      <c r="DD1881">
        <v>1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>"12/16/2021 14:52:44.305"</f>
        <v>12/16/2021 14:52:44.305</v>
      </c>
      <c r="C1882" t="str">
        <f t="shared" si="91"/>
        <v>FFDFD3C0</v>
      </c>
      <c r="D1882" t="s">
        <v>124</v>
      </c>
      <c r="E1882">
        <v>10</v>
      </c>
      <c r="F1882">
        <v>1010</v>
      </c>
      <c r="G1882" t="s">
        <v>130</v>
      </c>
      <c r="J1882" t="s">
        <v>125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>"14:52:44.039"</f>
        <v>14:52:44.039</v>
      </c>
      <c r="T1882" t="str">
        <f>"14:52:43.539"</f>
        <v>14:52:43.539</v>
      </c>
      <c r="U1882" t="str">
        <f t="shared" si="93"/>
        <v>A0F928</v>
      </c>
      <c r="V1882">
        <v>0</v>
      </c>
      <c r="W1882">
        <v>0</v>
      </c>
      <c r="X1882">
        <v>2</v>
      </c>
      <c r="Z1882">
        <v>0</v>
      </c>
      <c r="AA1882">
        <v>9</v>
      </c>
      <c r="AB1882">
        <v>3</v>
      </c>
      <c r="AC1882">
        <v>0</v>
      </c>
      <c r="AD1882">
        <v>10</v>
      </c>
      <c r="AE1882">
        <v>0</v>
      </c>
      <c r="AF1882">
        <v>3</v>
      </c>
      <c r="AG1882">
        <v>2</v>
      </c>
      <c r="AH1882">
        <v>1</v>
      </c>
      <c r="AI1882" t="s">
        <v>998</v>
      </c>
      <c r="AJ1882">
        <v>35.848153000000003</v>
      </c>
      <c r="AK1882" t="s">
        <v>999</v>
      </c>
      <c r="AL1882">
        <v>-83.990370999999996</v>
      </c>
      <c r="AM1882">
        <v>25</v>
      </c>
      <c r="AN1882">
        <v>1575</v>
      </c>
      <c r="AO1882" t="s">
        <v>118</v>
      </c>
      <c r="AP1882">
        <v>84</v>
      </c>
      <c r="AQ1882">
        <v>85</v>
      </c>
      <c r="AR1882">
        <v>-192</v>
      </c>
      <c r="AZ1882">
        <v>300</v>
      </c>
      <c r="BA1882">
        <v>1</v>
      </c>
      <c r="BB1882" t="str">
        <f t="shared" si="92"/>
        <v xml:space="preserve">N162AM  </v>
      </c>
      <c r="BC1882">
        <v>1</v>
      </c>
      <c r="BE1882">
        <v>0</v>
      </c>
      <c r="BF1882">
        <v>0</v>
      </c>
      <c r="BG1882">
        <v>0</v>
      </c>
      <c r="BH1882">
        <v>1825</v>
      </c>
      <c r="BI1882">
        <v>1</v>
      </c>
      <c r="BJ1882">
        <v>1</v>
      </c>
      <c r="BK1882">
        <v>1</v>
      </c>
      <c r="BL1882">
        <v>0</v>
      </c>
      <c r="BO1882">
        <v>0</v>
      </c>
      <c r="BP1882">
        <v>0</v>
      </c>
      <c r="BW1882" t="str">
        <f>"14:52:44.045"</f>
        <v>14:52:44.045</v>
      </c>
      <c r="CJ1882">
        <v>3</v>
      </c>
      <c r="CK1882">
        <v>2</v>
      </c>
      <c r="CL1882">
        <v>0</v>
      </c>
      <c r="CM1882">
        <v>2</v>
      </c>
      <c r="CN1882">
        <v>0</v>
      </c>
      <c r="CO1882">
        <v>6</v>
      </c>
      <c r="CP1882" t="s">
        <v>119</v>
      </c>
      <c r="CQ1882">
        <v>232</v>
      </c>
      <c r="CR1882">
        <v>2</v>
      </c>
      <c r="CW1882">
        <v>6956045</v>
      </c>
      <c r="CY1882">
        <v>1</v>
      </c>
      <c r="CZ1882">
        <v>0</v>
      </c>
      <c r="DA1882">
        <v>0</v>
      </c>
      <c r="DB1882">
        <v>0</v>
      </c>
      <c r="DC1882">
        <v>0</v>
      </c>
      <c r="DD1882">
        <v>1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>"12/16/2021 14:52:44.305"</f>
        <v>12/16/2021 14:52:44.305</v>
      </c>
      <c r="C1883" t="str">
        <f t="shared" si="91"/>
        <v>FFDFD3C0</v>
      </c>
      <c r="D1883" t="s">
        <v>113</v>
      </c>
      <c r="E1883">
        <v>8</v>
      </c>
      <c r="H1883">
        <v>176</v>
      </c>
      <c r="I1883" t="s">
        <v>114</v>
      </c>
      <c r="J1883" t="s">
        <v>115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>"14:52:44.039"</f>
        <v>14:52:44.039</v>
      </c>
      <c r="T1883" t="str">
        <f>"14:52:43.539"</f>
        <v>14:52:43.539</v>
      </c>
      <c r="U1883" t="str">
        <f t="shared" si="93"/>
        <v>A0F928</v>
      </c>
      <c r="V1883">
        <v>0</v>
      </c>
      <c r="W1883">
        <v>0</v>
      </c>
      <c r="X1883">
        <v>2</v>
      </c>
      <c r="Z1883">
        <v>0</v>
      </c>
      <c r="AA1883">
        <v>9</v>
      </c>
      <c r="AB1883">
        <v>3</v>
      </c>
      <c r="AC1883">
        <v>0</v>
      </c>
      <c r="AD1883">
        <v>10</v>
      </c>
      <c r="AE1883">
        <v>0</v>
      </c>
      <c r="AF1883">
        <v>3</v>
      </c>
      <c r="AG1883">
        <v>2</v>
      </c>
      <c r="AH1883">
        <v>1</v>
      </c>
      <c r="AI1883" t="s">
        <v>998</v>
      </c>
      <c r="AJ1883">
        <v>35.848153000000003</v>
      </c>
      <c r="AK1883" t="s">
        <v>999</v>
      </c>
      <c r="AL1883">
        <v>-83.990370999999996</v>
      </c>
      <c r="AM1883">
        <v>25</v>
      </c>
      <c r="AN1883">
        <v>1575</v>
      </c>
      <c r="AO1883" t="s">
        <v>118</v>
      </c>
      <c r="AP1883">
        <v>84</v>
      </c>
      <c r="AQ1883">
        <v>85</v>
      </c>
      <c r="AR1883">
        <v>-192</v>
      </c>
      <c r="AZ1883">
        <v>300</v>
      </c>
      <c r="BA1883">
        <v>1</v>
      </c>
      <c r="BB1883" t="str">
        <f t="shared" si="92"/>
        <v xml:space="preserve">N162AM  </v>
      </c>
      <c r="BC1883">
        <v>1</v>
      </c>
      <c r="BE1883">
        <v>0</v>
      </c>
      <c r="BF1883">
        <v>0</v>
      </c>
      <c r="BG1883">
        <v>0</v>
      </c>
      <c r="BH1883">
        <v>1825</v>
      </c>
      <c r="BI1883">
        <v>1</v>
      </c>
      <c r="BJ1883">
        <v>1</v>
      </c>
      <c r="BK1883">
        <v>1</v>
      </c>
      <c r="BL1883">
        <v>0</v>
      </c>
      <c r="BO1883">
        <v>0</v>
      </c>
      <c r="BP1883">
        <v>0</v>
      </c>
      <c r="BW1883" t="str">
        <f>"14:52:44.045"</f>
        <v>14:52:44.045</v>
      </c>
      <c r="CJ1883">
        <v>3</v>
      </c>
      <c r="CK1883">
        <v>2</v>
      </c>
      <c r="CL1883">
        <v>0</v>
      </c>
      <c r="CM1883">
        <v>2</v>
      </c>
      <c r="CN1883">
        <v>0</v>
      </c>
      <c r="CO1883">
        <v>6</v>
      </c>
      <c r="CP1883" t="s">
        <v>119</v>
      </c>
      <c r="CQ1883">
        <v>232</v>
      </c>
      <c r="CR1883">
        <v>2</v>
      </c>
      <c r="CW1883">
        <v>6956045</v>
      </c>
      <c r="CY1883">
        <v>1</v>
      </c>
      <c r="CZ1883">
        <v>0</v>
      </c>
      <c r="DA1883">
        <v>1</v>
      </c>
      <c r="DB1883">
        <v>0</v>
      </c>
      <c r="DC1883">
        <v>0</v>
      </c>
      <c r="DD1883">
        <v>1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>"12/16/2021 14:52:44.305"</f>
        <v>12/16/2021 14:52:44.305</v>
      </c>
      <c r="C1884" t="str">
        <f t="shared" si="91"/>
        <v>FFDFD3C0</v>
      </c>
      <c r="D1884" t="s">
        <v>133</v>
      </c>
      <c r="E1884">
        <v>44</v>
      </c>
      <c r="H1884">
        <v>131</v>
      </c>
      <c r="I1884" t="s">
        <v>134</v>
      </c>
      <c r="J1884" t="s">
        <v>135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>"14:52:44.039"</f>
        <v>14:52:44.039</v>
      </c>
      <c r="T1884" t="str">
        <f>"14:52:43.539"</f>
        <v>14:52:43.539</v>
      </c>
      <c r="U1884" t="str">
        <f t="shared" si="93"/>
        <v>A0F928</v>
      </c>
      <c r="V1884">
        <v>0</v>
      </c>
      <c r="W1884">
        <v>0</v>
      </c>
      <c r="X1884">
        <v>2</v>
      </c>
      <c r="Z1884">
        <v>0</v>
      </c>
      <c r="AA1884">
        <v>9</v>
      </c>
      <c r="AB1884">
        <v>3</v>
      </c>
      <c r="AC1884">
        <v>0</v>
      </c>
      <c r="AD1884">
        <v>10</v>
      </c>
      <c r="AE1884">
        <v>0</v>
      </c>
      <c r="AF1884">
        <v>3</v>
      </c>
      <c r="AG1884">
        <v>2</v>
      </c>
      <c r="AH1884">
        <v>1</v>
      </c>
      <c r="AI1884" t="s">
        <v>998</v>
      </c>
      <c r="AJ1884">
        <v>35.848153000000003</v>
      </c>
      <c r="AK1884" t="s">
        <v>999</v>
      </c>
      <c r="AL1884">
        <v>-83.990370999999996</v>
      </c>
      <c r="AM1884">
        <v>25</v>
      </c>
      <c r="AN1884">
        <v>1575</v>
      </c>
      <c r="AO1884" t="s">
        <v>118</v>
      </c>
      <c r="AP1884">
        <v>84</v>
      </c>
      <c r="AQ1884">
        <v>85</v>
      </c>
      <c r="AR1884">
        <v>-192</v>
      </c>
      <c r="AZ1884">
        <v>300</v>
      </c>
      <c r="BA1884">
        <v>1</v>
      </c>
      <c r="BB1884" t="str">
        <f t="shared" si="92"/>
        <v xml:space="preserve">N162AM  </v>
      </c>
      <c r="BC1884">
        <v>1</v>
      </c>
      <c r="BE1884">
        <v>0</v>
      </c>
      <c r="BF1884">
        <v>0</v>
      </c>
      <c r="BG1884">
        <v>0</v>
      </c>
      <c r="BH1884">
        <v>1825</v>
      </c>
      <c r="BI1884">
        <v>1</v>
      </c>
      <c r="BJ1884">
        <v>1</v>
      </c>
      <c r="BK1884">
        <v>1</v>
      </c>
      <c r="BL1884">
        <v>0</v>
      </c>
      <c r="BO1884">
        <v>0</v>
      </c>
      <c r="BP1884">
        <v>0</v>
      </c>
      <c r="BW1884" t="str">
        <f>"14:52:44.045"</f>
        <v>14:52:44.045</v>
      </c>
      <c r="CJ1884">
        <v>3</v>
      </c>
      <c r="CK1884">
        <v>2</v>
      </c>
      <c r="CL1884">
        <v>0</v>
      </c>
      <c r="CM1884">
        <v>2</v>
      </c>
      <c r="CN1884">
        <v>0</v>
      </c>
      <c r="CO1884">
        <v>6</v>
      </c>
      <c r="CP1884" t="s">
        <v>119</v>
      </c>
      <c r="CQ1884">
        <v>232</v>
      </c>
      <c r="CR1884">
        <v>2</v>
      </c>
      <c r="CW1884">
        <v>6956045</v>
      </c>
      <c r="CY1884">
        <v>1</v>
      </c>
      <c r="CZ1884">
        <v>0</v>
      </c>
      <c r="DA1884">
        <v>1</v>
      </c>
      <c r="DB1884">
        <v>0</v>
      </c>
      <c r="DC1884">
        <v>0</v>
      </c>
      <c r="DD1884">
        <v>1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>"12/16/2021 14:52:44.305"</f>
        <v>12/16/2021 14:52:44.305</v>
      </c>
      <c r="C1885" t="str">
        <f t="shared" si="91"/>
        <v>FFDFD3C0</v>
      </c>
      <c r="D1885" t="s">
        <v>124</v>
      </c>
      <c r="E1885">
        <v>5</v>
      </c>
      <c r="F1885">
        <v>1005</v>
      </c>
      <c r="G1885" t="s">
        <v>114</v>
      </c>
      <c r="J1885" t="s">
        <v>125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>"14:52:44.039"</f>
        <v>14:52:44.039</v>
      </c>
      <c r="T1885" t="str">
        <f>"14:52:43.539"</f>
        <v>14:52:43.539</v>
      </c>
      <c r="U1885" t="str">
        <f t="shared" si="93"/>
        <v>A0F928</v>
      </c>
      <c r="V1885">
        <v>0</v>
      </c>
      <c r="W1885">
        <v>0</v>
      </c>
      <c r="X1885">
        <v>2</v>
      </c>
      <c r="Z1885">
        <v>0</v>
      </c>
      <c r="AA1885">
        <v>9</v>
      </c>
      <c r="AB1885">
        <v>3</v>
      </c>
      <c r="AC1885">
        <v>0</v>
      </c>
      <c r="AD1885">
        <v>10</v>
      </c>
      <c r="AE1885">
        <v>0</v>
      </c>
      <c r="AF1885">
        <v>3</v>
      </c>
      <c r="AG1885">
        <v>2</v>
      </c>
      <c r="AH1885">
        <v>1</v>
      </c>
      <c r="AI1885" t="s">
        <v>998</v>
      </c>
      <c r="AJ1885">
        <v>35.848153000000003</v>
      </c>
      <c r="AK1885" t="s">
        <v>999</v>
      </c>
      <c r="AL1885">
        <v>-83.990370999999996</v>
      </c>
      <c r="AM1885">
        <v>25</v>
      </c>
      <c r="AN1885">
        <v>1575</v>
      </c>
      <c r="AO1885" t="s">
        <v>118</v>
      </c>
      <c r="AP1885">
        <v>84</v>
      </c>
      <c r="AQ1885">
        <v>85</v>
      </c>
      <c r="AR1885">
        <v>-192</v>
      </c>
      <c r="AZ1885">
        <v>300</v>
      </c>
      <c r="BA1885">
        <v>1</v>
      </c>
      <c r="BB1885" t="str">
        <f t="shared" si="92"/>
        <v xml:space="preserve">N162AM  </v>
      </c>
      <c r="BC1885">
        <v>1</v>
      </c>
      <c r="BE1885">
        <v>0</v>
      </c>
      <c r="BF1885">
        <v>0</v>
      </c>
      <c r="BG1885">
        <v>0</v>
      </c>
      <c r="BH1885">
        <v>1825</v>
      </c>
      <c r="BI1885">
        <v>1</v>
      </c>
      <c r="BJ1885">
        <v>1</v>
      </c>
      <c r="BK1885">
        <v>1</v>
      </c>
      <c r="BL1885">
        <v>0</v>
      </c>
      <c r="BO1885">
        <v>0</v>
      </c>
      <c r="BP1885">
        <v>0</v>
      </c>
      <c r="BW1885" t="str">
        <f>"14:52:44.045"</f>
        <v>14:52:44.045</v>
      </c>
      <c r="CJ1885">
        <v>3</v>
      </c>
      <c r="CK1885">
        <v>2</v>
      </c>
      <c r="CL1885">
        <v>0</v>
      </c>
      <c r="CM1885">
        <v>2</v>
      </c>
      <c r="CN1885">
        <v>0</v>
      </c>
      <c r="CO1885">
        <v>6</v>
      </c>
      <c r="CP1885" t="s">
        <v>119</v>
      </c>
      <c r="CQ1885">
        <v>232</v>
      </c>
      <c r="CR1885">
        <v>2</v>
      </c>
      <c r="CW1885">
        <v>6956045</v>
      </c>
      <c r="CY1885">
        <v>1</v>
      </c>
      <c r="CZ1885">
        <v>0</v>
      </c>
      <c r="DA1885">
        <v>1</v>
      </c>
      <c r="DB1885">
        <v>0</v>
      </c>
      <c r="DC1885">
        <v>0</v>
      </c>
      <c r="DD1885">
        <v>1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>"12/16/2021 14:52:45.164"</f>
        <v>12/16/2021 14:52:45.164</v>
      </c>
      <c r="C1886" t="str">
        <f t="shared" si="91"/>
        <v>FFDFD3C0</v>
      </c>
      <c r="D1886" t="s">
        <v>124</v>
      </c>
      <c r="E1886">
        <v>10</v>
      </c>
      <c r="F1886">
        <v>1010</v>
      </c>
      <c r="G1886" t="s">
        <v>130</v>
      </c>
      <c r="J1886" t="s">
        <v>125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>"14:52:44.984"</f>
        <v>14:52:44.984</v>
      </c>
      <c r="T1886" t="str">
        <f>"14:52:44.584"</f>
        <v>14:52:44.584</v>
      </c>
      <c r="U1886" t="str">
        <f t="shared" si="93"/>
        <v>A0F928</v>
      </c>
      <c r="V1886">
        <v>0</v>
      </c>
      <c r="W1886">
        <v>0</v>
      </c>
      <c r="X1886">
        <v>2</v>
      </c>
      <c r="Z1886">
        <v>0</v>
      </c>
      <c r="AA1886">
        <v>9</v>
      </c>
      <c r="AB1886">
        <v>3</v>
      </c>
      <c r="AC1886">
        <v>0</v>
      </c>
      <c r="AD1886">
        <v>10</v>
      </c>
      <c r="AE1886">
        <v>0</v>
      </c>
      <c r="AF1886">
        <v>3</v>
      </c>
      <c r="AG1886">
        <v>2</v>
      </c>
      <c r="AH1886">
        <v>1</v>
      </c>
      <c r="AI1886" t="s">
        <v>1000</v>
      </c>
      <c r="AJ1886">
        <v>35.848517000000001</v>
      </c>
      <c r="AK1886" t="s">
        <v>1001</v>
      </c>
      <c r="AL1886">
        <v>-83.989856000000003</v>
      </c>
      <c r="AM1886">
        <v>25</v>
      </c>
      <c r="AN1886">
        <v>1575</v>
      </c>
      <c r="AO1886" t="s">
        <v>118</v>
      </c>
      <c r="AP1886">
        <v>85</v>
      </c>
      <c r="AQ1886">
        <v>85</v>
      </c>
      <c r="AR1886">
        <v>-256</v>
      </c>
      <c r="AZ1886">
        <v>300</v>
      </c>
      <c r="BA1886">
        <v>1</v>
      </c>
      <c r="BB1886" t="str">
        <f t="shared" si="92"/>
        <v xml:space="preserve">N162AM  </v>
      </c>
      <c r="BC1886">
        <v>1</v>
      </c>
      <c r="BE1886">
        <v>0</v>
      </c>
      <c r="BF1886">
        <v>0</v>
      </c>
      <c r="BG1886">
        <v>0</v>
      </c>
      <c r="BH1886">
        <v>1825</v>
      </c>
      <c r="BI1886">
        <v>1</v>
      </c>
      <c r="BJ1886">
        <v>1</v>
      </c>
      <c r="BK1886">
        <v>1</v>
      </c>
      <c r="BL1886">
        <v>0</v>
      </c>
      <c r="BO1886">
        <v>0</v>
      </c>
      <c r="BP1886">
        <v>0</v>
      </c>
      <c r="BW1886" t="str">
        <f>"14:52:44.989"</f>
        <v>14:52:44.989</v>
      </c>
      <c r="CJ1886">
        <v>3</v>
      </c>
      <c r="CK1886">
        <v>2</v>
      </c>
      <c r="CL1886">
        <v>0</v>
      </c>
      <c r="CM1886">
        <v>2</v>
      </c>
      <c r="CN1886">
        <v>0</v>
      </c>
      <c r="CO1886">
        <v>6</v>
      </c>
      <c r="CP1886" t="s">
        <v>119</v>
      </c>
      <c r="CQ1886">
        <v>232</v>
      </c>
      <c r="CR1886">
        <v>1</v>
      </c>
      <c r="CW1886">
        <v>15744046</v>
      </c>
      <c r="CY1886">
        <v>1</v>
      </c>
      <c r="CZ1886">
        <v>0</v>
      </c>
      <c r="DA1886">
        <v>0</v>
      </c>
      <c r="DB1886">
        <v>0</v>
      </c>
      <c r="DC1886">
        <v>0</v>
      </c>
      <c r="DD1886">
        <v>1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>"12/16/2021 14:52:45.179"</f>
        <v>12/16/2021 14:52:45.179</v>
      </c>
      <c r="C1887" t="str">
        <f t="shared" si="91"/>
        <v>FFDFD3C0</v>
      </c>
      <c r="D1887" t="s">
        <v>113</v>
      </c>
      <c r="E1887">
        <v>8</v>
      </c>
      <c r="H1887">
        <v>176</v>
      </c>
      <c r="I1887" t="s">
        <v>114</v>
      </c>
      <c r="J1887" t="s">
        <v>115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>"14:52:44.984"</f>
        <v>14:52:44.984</v>
      </c>
      <c r="T1887" t="str">
        <f>"14:52:44.584"</f>
        <v>14:52:44.584</v>
      </c>
      <c r="U1887" t="str">
        <f t="shared" si="93"/>
        <v>A0F928</v>
      </c>
      <c r="V1887">
        <v>0</v>
      </c>
      <c r="W1887">
        <v>0</v>
      </c>
      <c r="X1887">
        <v>2</v>
      </c>
      <c r="Z1887">
        <v>0</v>
      </c>
      <c r="AA1887">
        <v>9</v>
      </c>
      <c r="AB1887">
        <v>3</v>
      </c>
      <c r="AC1887">
        <v>0</v>
      </c>
      <c r="AD1887">
        <v>10</v>
      </c>
      <c r="AE1887">
        <v>0</v>
      </c>
      <c r="AF1887">
        <v>3</v>
      </c>
      <c r="AG1887">
        <v>2</v>
      </c>
      <c r="AH1887">
        <v>1</v>
      </c>
      <c r="AI1887" t="s">
        <v>1000</v>
      </c>
      <c r="AJ1887">
        <v>35.848517000000001</v>
      </c>
      <c r="AK1887" t="s">
        <v>1001</v>
      </c>
      <c r="AL1887">
        <v>-83.989856000000003</v>
      </c>
      <c r="AM1887">
        <v>25</v>
      </c>
      <c r="AN1887">
        <v>1575</v>
      </c>
      <c r="AO1887" t="s">
        <v>118</v>
      </c>
      <c r="AP1887">
        <v>85</v>
      </c>
      <c r="AQ1887">
        <v>85</v>
      </c>
      <c r="AR1887">
        <v>-256</v>
      </c>
      <c r="AZ1887">
        <v>300</v>
      </c>
      <c r="BA1887">
        <v>1</v>
      </c>
      <c r="BB1887" t="str">
        <f t="shared" si="92"/>
        <v xml:space="preserve">N162AM  </v>
      </c>
      <c r="BC1887">
        <v>1</v>
      </c>
      <c r="BE1887">
        <v>0</v>
      </c>
      <c r="BF1887">
        <v>0</v>
      </c>
      <c r="BG1887">
        <v>0</v>
      </c>
      <c r="BH1887">
        <v>1825</v>
      </c>
      <c r="BI1887">
        <v>1</v>
      </c>
      <c r="BJ1887">
        <v>1</v>
      </c>
      <c r="BK1887">
        <v>1</v>
      </c>
      <c r="BL1887">
        <v>0</v>
      </c>
      <c r="BO1887">
        <v>0</v>
      </c>
      <c r="BP1887">
        <v>0</v>
      </c>
      <c r="BW1887" t="str">
        <f>"14:52:44.989"</f>
        <v>14:52:44.989</v>
      </c>
      <c r="CJ1887">
        <v>3</v>
      </c>
      <c r="CK1887">
        <v>2</v>
      </c>
      <c r="CL1887">
        <v>0</v>
      </c>
      <c r="CM1887">
        <v>2</v>
      </c>
      <c r="CN1887">
        <v>0</v>
      </c>
      <c r="CO1887">
        <v>6</v>
      </c>
      <c r="CP1887" t="s">
        <v>119</v>
      </c>
      <c r="CQ1887">
        <v>232</v>
      </c>
      <c r="CR1887">
        <v>1</v>
      </c>
      <c r="CW1887">
        <v>15744046</v>
      </c>
      <c r="CY1887">
        <v>1</v>
      </c>
      <c r="CZ1887">
        <v>0</v>
      </c>
      <c r="DA1887">
        <v>1</v>
      </c>
      <c r="DB1887">
        <v>0</v>
      </c>
      <c r="DC1887">
        <v>0</v>
      </c>
      <c r="DD1887">
        <v>1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>"12/16/2021 14:52:45.242"</f>
        <v>12/16/2021 14:52:45.242</v>
      </c>
      <c r="C1888" t="str">
        <f t="shared" si="91"/>
        <v>FFDFD3C0</v>
      </c>
      <c r="D1888" t="s">
        <v>124</v>
      </c>
      <c r="E1888">
        <v>5</v>
      </c>
      <c r="F1888">
        <v>1005</v>
      </c>
      <c r="G1888" t="s">
        <v>114</v>
      </c>
      <c r="J1888" t="s">
        <v>125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>"14:52:44.984"</f>
        <v>14:52:44.984</v>
      </c>
      <c r="T1888" t="str">
        <f>"14:52:44.584"</f>
        <v>14:52:44.584</v>
      </c>
      <c r="U1888" t="str">
        <f t="shared" si="93"/>
        <v>A0F928</v>
      </c>
      <c r="V1888">
        <v>0</v>
      </c>
      <c r="W1888">
        <v>0</v>
      </c>
      <c r="X1888">
        <v>2</v>
      </c>
      <c r="Z1888">
        <v>0</v>
      </c>
      <c r="AA1888">
        <v>9</v>
      </c>
      <c r="AB1888">
        <v>3</v>
      </c>
      <c r="AC1888">
        <v>0</v>
      </c>
      <c r="AD1888">
        <v>10</v>
      </c>
      <c r="AE1888">
        <v>0</v>
      </c>
      <c r="AF1888">
        <v>3</v>
      </c>
      <c r="AG1888">
        <v>2</v>
      </c>
      <c r="AH1888">
        <v>1</v>
      </c>
      <c r="AI1888" t="s">
        <v>1000</v>
      </c>
      <c r="AJ1888">
        <v>35.848517000000001</v>
      </c>
      <c r="AK1888" t="s">
        <v>1001</v>
      </c>
      <c r="AL1888">
        <v>-83.989856000000003</v>
      </c>
      <c r="AM1888">
        <v>25</v>
      </c>
      <c r="AN1888">
        <v>1575</v>
      </c>
      <c r="AO1888" t="s">
        <v>118</v>
      </c>
      <c r="AP1888">
        <v>85</v>
      </c>
      <c r="AQ1888">
        <v>85</v>
      </c>
      <c r="AR1888">
        <v>-256</v>
      </c>
      <c r="AZ1888">
        <v>300</v>
      </c>
      <c r="BA1888">
        <v>1</v>
      </c>
      <c r="BB1888" t="str">
        <f t="shared" si="92"/>
        <v xml:space="preserve">N162AM  </v>
      </c>
      <c r="BC1888">
        <v>1</v>
      </c>
      <c r="BE1888">
        <v>0</v>
      </c>
      <c r="BF1888">
        <v>0</v>
      </c>
      <c r="BG1888">
        <v>0</v>
      </c>
      <c r="BH1888">
        <v>1825</v>
      </c>
      <c r="BI1888">
        <v>1</v>
      </c>
      <c r="BJ1888">
        <v>1</v>
      </c>
      <c r="BK1888">
        <v>1</v>
      </c>
      <c r="BL1888">
        <v>0</v>
      </c>
      <c r="BO1888">
        <v>0</v>
      </c>
      <c r="BP1888">
        <v>0</v>
      </c>
      <c r="BW1888" t="str">
        <f>"14:52:44.989"</f>
        <v>14:52:44.989</v>
      </c>
      <c r="CJ1888">
        <v>3</v>
      </c>
      <c r="CK1888">
        <v>2</v>
      </c>
      <c r="CL1888">
        <v>0</v>
      </c>
      <c r="CM1888">
        <v>2</v>
      </c>
      <c r="CN1888">
        <v>0</v>
      </c>
      <c r="CO1888">
        <v>6</v>
      </c>
      <c r="CP1888" t="s">
        <v>119</v>
      </c>
      <c r="CQ1888">
        <v>232</v>
      </c>
      <c r="CR1888">
        <v>1</v>
      </c>
      <c r="CW1888">
        <v>15744046</v>
      </c>
      <c r="CY1888">
        <v>1</v>
      </c>
      <c r="CZ1888">
        <v>0</v>
      </c>
      <c r="DA1888">
        <v>1</v>
      </c>
      <c r="DB1888">
        <v>0</v>
      </c>
      <c r="DC1888">
        <v>0</v>
      </c>
      <c r="DD1888">
        <v>1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>"12/16/2021 14:52:45.242"</f>
        <v>12/16/2021 14:52:45.242</v>
      </c>
      <c r="C1889" t="str">
        <f t="shared" si="91"/>
        <v>FFDFD3C0</v>
      </c>
      <c r="D1889" t="s">
        <v>133</v>
      </c>
      <c r="E1889">
        <v>44</v>
      </c>
      <c r="H1889">
        <v>131</v>
      </c>
      <c r="I1889" t="s">
        <v>134</v>
      </c>
      <c r="J1889" t="s">
        <v>135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>"14:52:44.984"</f>
        <v>14:52:44.984</v>
      </c>
      <c r="T1889" t="str">
        <f>"14:52:44.584"</f>
        <v>14:52:44.584</v>
      </c>
      <c r="U1889" t="str">
        <f t="shared" si="93"/>
        <v>A0F928</v>
      </c>
      <c r="V1889">
        <v>0</v>
      </c>
      <c r="W1889">
        <v>0</v>
      </c>
      <c r="X1889">
        <v>2</v>
      </c>
      <c r="Z1889">
        <v>0</v>
      </c>
      <c r="AA1889">
        <v>9</v>
      </c>
      <c r="AB1889">
        <v>3</v>
      </c>
      <c r="AC1889">
        <v>0</v>
      </c>
      <c r="AD1889">
        <v>10</v>
      </c>
      <c r="AE1889">
        <v>0</v>
      </c>
      <c r="AF1889">
        <v>3</v>
      </c>
      <c r="AG1889">
        <v>2</v>
      </c>
      <c r="AH1889">
        <v>1</v>
      </c>
      <c r="AI1889" t="s">
        <v>1000</v>
      </c>
      <c r="AJ1889">
        <v>35.848517000000001</v>
      </c>
      <c r="AK1889" t="s">
        <v>1001</v>
      </c>
      <c r="AL1889">
        <v>-83.989856000000003</v>
      </c>
      <c r="AM1889">
        <v>25</v>
      </c>
      <c r="AN1889">
        <v>1575</v>
      </c>
      <c r="AO1889" t="s">
        <v>118</v>
      </c>
      <c r="AP1889">
        <v>85</v>
      </c>
      <c r="AQ1889">
        <v>85</v>
      </c>
      <c r="AR1889">
        <v>-256</v>
      </c>
      <c r="AZ1889">
        <v>300</v>
      </c>
      <c r="BA1889">
        <v>1</v>
      </c>
      <c r="BB1889" t="str">
        <f t="shared" si="92"/>
        <v xml:space="preserve">N162AM  </v>
      </c>
      <c r="BC1889">
        <v>1</v>
      </c>
      <c r="BE1889">
        <v>0</v>
      </c>
      <c r="BF1889">
        <v>0</v>
      </c>
      <c r="BG1889">
        <v>0</v>
      </c>
      <c r="BH1889">
        <v>1825</v>
      </c>
      <c r="BI1889">
        <v>1</v>
      </c>
      <c r="BJ1889">
        <v>1</v>
      </c>
      <c r="BK1889">
        <v>1</v>
      </c>
      <c r="BL1889">
        <v>0</v>
      </c>
      <c r="BO1889">
        <v>0</v>
      </c>
      <c r="BP1889">
        <v>0</v>
      </c>
      <c r="BW1889" t="str">
        <f>"14:52:44.989"</f>
        <v>14:52:44.989</v>
      </c>
      <c r="CJ1889">
        <v>3</v>
      </c>
      <c r="CK1889">
        <v>2</v>
      </c>
      <c r="CL1889">
        <v>0</v>
      </c>
      <c r="CM1889">
        <v>2</v>
      </c>
      <c r="CN1889">
        <v>0</v>
      </c>
      <c r="CO1889">
        <v>6</v>
      </c>
      <c r="CP1889" t="s">
        <v>119</v>
      </c>
      <c r="CQ1889">
        <v>232</v>
      </c>
      <c r="CR1889">
        <v>1</v>
      </c>
      <c r="CW1889">
        <v>15744046</v>
      </c>
      <c r="CY1889">
        <v>1</v>
      </c>
      <c r="CZ1889">
        <v>0</v>
      </c>
      <c r="DA1889">
        <v>1</v>
      </c>
      <c r="DB1889">
        <v>0</v>
      </c>
      <c r="DC1889">
        <v>0</v>
      </c>
      <c r="DD1889">
        <v>1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>"12/16/2021 14:52:46.117"</f>
        <v>12/16/2021 14:52:46.117</v>
      </c>
      <c r="C1890" t="str">
        <f t="shared" si="91"/>
        <v>FFDFD3C0</v>
      </c>
      <c r="D1890" t="s">
        <v>124</v>
      </c>
      <c r="E1890">
        <v>10</v>
      </c>
      <c r="F1890">
        <v>1010</v>
      </c>
      <c r="G1890" t="s">
        <v>130</v>
      </c>
      <c r="J1890" t="s">
        <v>125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>"14:52:45.922"</f>
        <v>14:52:45.922</v>
      </c>
      <c r="T1890" t="str">
        <f>"14:52:45.422"</f>
        <v>14:52:45.422</v>
      </c>
      <c r="U1890" t="str">
        <f t="shared" si="93"/>
        <v>A0F928</v>
      </c>
      <c r="V1890">
        <v>0</v>
      </c>
      <c r="W1890">
        <v>0</v>
      </c>
      <c r="X1890">
        <v>2</v>
      </c>
      <c r="Z1890">
        <v>0</v>
      </c>
      <c r="AA1890">
        <v>9</v>
      </c>
      <c r="AB1890">
        <v>3</v>
      </c>
      <c r="AC1890">
        <v>0</v>
      </c>
      <c r="AD1890">
        <v>10</v>
      </c>
      <c r="AE1890">
        <v>0</v>
      </c>
      <c r="AF1890">
        <v>3</v>
      </c>
      <c r="AG1890">
        <v>2</v>
      </c>
      <c r="AH1890">
        <v>1</v>
      </c>
      <c r="AI1890" t="s">
        <v>1002</v>
      </c>
      <c r="AJ1890">
        <v>35.848903999999997</v>
      </c>
      <c r="AK1890" t="s">
        <v>1003</v>
      </c>
      <c r="AL1890">
        <v>-83.989427000000006</v>
      </c>
      <c r="AM1890">
        <v>25</v>
      </c>
      <c r="AN1890">
        <v>1550</v>
      </c>
      <c r="AO1890" t="s">
        <v>118</v>
      </c>
      <c r="AP1890">
        <v>85</v>
      </c>
      <c r="AQ1890">
        <v>84</v>
      </c>
      <c r="AR1890">
        <v>-384</v>
      </c>
      <c r="AZ1890">
        <v>300</v>
      </c>
      <c r="BA1890">
        <v>1</v>
      </c>
      <c r="BB1890" t="str">
        <f t="shared" si="92"/>
        <v xml:space="preserve">N162AM  </v>
      </c>
      <c r="BC1890">
        <v>1</v>
      </c>
      <c r="BE1890">
        <v>0</v>
      </c>
      <c r="BF1890">
        <v>0</v>
      </c>
      <c r="BG1890">
        <v>0</v>
      </c>
      <c r="BH1890">
        <v>1825</v>
      </c>
      <c r="BI1890">
        <v>1</v>
      </c>
      <c r="BJ1890">
        <v>1</v>
      </c>
      <c r="BK1890">
        <v>1</v>
      </c>
      <c r="BL1890">
        <v>0</v>
      </c>
      <c r="BO1890">
        <v>0</v>
      </c>
      <c r="BP1890">
        <v>0</v>
      </c>
      <c r="BW1890" t="str">
        <f>"14:52:45.926"</f>
        <v>14:52:45.926</v>
      </c>
      <c r="CJ1890">
        <v>3</v>
      </c>
      <c r="CK1890">
        <v>2</v>
      </c>
      <c r="CL1890">
        <v>0</v>
      </c>
      <c r="CM1890">
        <v>2</v>
      </c>
      <c r="CN1890">
        <v>0</v>
      </c>
      <c r="CO1890">
        <v>6</v>
      </c>
      <c r="CP1890" t="s">
        <v>119</v>
      </c>
      <c r="CQ1890">
        <v>232</v>
      </c>
      <c r="CR1890">
        <v>2</v>
      </c>
      <c r="CW1890">
        <v>6958985</v>
      </c>
      <c r="CY1890">
        <v>1</v>
      </c>
      <c r="CZ1890">
        <v>0</v>
      </c>
      <c r="DA1890">
        <v>0</v>
      </c>
      <c r="DB1890">
        <v>0</v>
      </c>
      <c r="DC1890">
        <v>0</v>
      </c>
      <c r="DD1890">
        <v>1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>"12/16/2021 14:52:46.148"</f>
        <v>12/16/2021 14:52:46.148</v>
      </c>
      <c r="C1891" t="str">
        <f t="shared" si="91"/>
        <v>FFDFD3C0</v>
      </c>
      <c r="D1891" t="s">
        <v>113</v>
      </c>
      <c r="E1891">
        <v>8</v>
      </c>
      <c r="H1891">
        <v>176</v>
      </c>
      <c r="I1891" t="s">
        <v>114</v>
      </c>
      <c r="J1891" t="s">
        <v>115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"14:52:45.922"</f>
        <v>14:52:45.922</v>
      </c>
      <c r="T1891" t="str">
        <f>"14:52:45.422"</f>
        <v>14:52:45.422</v>
      </c>
      <c r="U1891" t="str">
        <f t="shared" si="93"/>
        <v>A0F928</v>
      </c>
      <c r="V1891">
        <v>0</v>
      </c>
      <c r="W1891">
        <v>0</v>
      </c>
      <c r="X1891">
        <v>2</v>
      </c>
      <c r="Z1891">
        <v>0</v>
      </c>
      <c r="AA1891">
        <v>9</v>
      </c>
      <c r="AB1891">
        <v>3</v>
      </c>
      <c r="AC1891">
        <v>0</v>
      </c>
      <c r="AD1891">
        <v>10</v>
      </c>
      <c r="AE1891">
        <v>0</v>
      </c>
      <c r="AF1891">
        <v>3</v>
      </c>
      <c r="AG1891">
        <v>2</v>
      </c>
      <c r="AH1891">
        <v>1</v>
      </c>
      <c r="AI1891" t="s">
        <v>1002</v>
      </c>
      <c r="AJ1891">
        <v>35.848903999999997</v>
      </c>
      <c r="AK1891" t="s">
        <v>1003</v>
      </c>
      <c r="AL1891">
        <v>-83.989427000000006</v>
      </c>
      <c r="AM1891">
        <v>25</v>
      </c>
      <c r="AN1891">
        <v>1550</v>
      </c>
      <c r="AO1891" t="s">
        <v>118</v>
      </c>
      <c r="AP1891">
        <v>85</v>
      </c>
      <c r="AQ1891">
        <v>84</v>
      </c>
      <c r="AR1891">
        <v>-384</v>
      </c>
      <c r="AZ1891">
        <v>300</v>
      </c>
      <c r="BA1891">
        <v>1</v>
      </c>
      <c r="BB1891" t="str">
        <f t="shared" si="92"/>
        <v xml:space="preserve">N162AM  </v>
      </c>
      <c r="BC1891">
        <v>1</v>
      </c>
      <c r="BE1891">
        <v>0</v>
      </c>
      <c r="BF1891">
        <v>0</v>
      </c>
      <c r="BG1891">
        <v>0</v>
      </c>
      <c r="BH1891">
        <v>1825</v>
      </c>
      <c r="BI1891">
        <v>1</v>
      </c>
      <c r="BJ1891">
        <v>1</v>
      </c>
      <c r="BK1891">
        <v>1</v>
      </c>
      <c r="BL1891">
        <v>0</v>
      </c>
      <c r="BO1891">
        <v>0</v>
      </c>
      <c r="BP1891">
        <v>0</v>
      </c>
      <c r="BW1891" t="str">
        <f>"14:52:45.926"</f>
        <v>14:52:45.926</v>
      </c>
      <c r="CJ1891">
        <v>3</v>
      </c>
      <c r="CK1891">
        <v>2</v>
      </c>
      <c r="CL1891">
        <v>0</v>
      </c>
      <c r="CM1891">
        <v>2</v>
      </c>
      <c r="CN1891">
        <v>0</v>
      </c>
      <c r="CO1891">
        <v>6</v>
      </c>
      <c r="CP1891" t="s">
        <v>119</v>
      </c>
      <c r="CQ1891">
        <v>232</v>
      </c>
      <c r="CR1891">
        <v>2</v>
      </c>
      <c r="CW1891">
        <v>6958985</v>
      </c>
      <c r="CY1891">
        <v>1</v>
      </c>
      <c r="CZ1891">
        <v>0</v>
      </c>
      <c r="DA1891">
        <v>1</v>
      </c>
      <c r="DB1891">
        <v>0</v>
      </c>
      <c r="DC1891">
        <v>0</v>
      </c>
      <c r="DD1891">
        <v>1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>"12/16/2021 14:52:46.148"</f>
        <v>12/16/2021 14:52:46.148</v>
      </c>
      <c r="C1892" t="str">
        <f t="shared" si="91"/>
        <v>FFDFD3C0</v>
      </c>
      <c r="D1892" t="s">
        <v>124</v>
      </c>
      <c r="E1892">
        <v>5</v>
      </c>
      <c r="F1892">
        <v>1005</v>
      </c>
      <c r="G1892" t="s">
        <v>114</v>
      </c>
      <c r="J1892" t="s">
        <v>125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"14:52:45.922"</f>
        <v>14:52:45.922</v>
      </c>
      <c r="T1892" t="str">
        <f>"14:52:45.422"</f>
        <v>14:52:45.422</v>
      </c>
      <c r="U1892" t="str">
        <f t="shared" si="93"/>
        <v>A0F928</v>
      </c>
      <c r="V1892">
        <v>0</v>
      </c>
      <c r="W1892">
        <v>0</v>
      </c>
      <c r="X1892">
        <v>2</v>
      </c>
      <c r="Z1892">
        <v>0</v>
      </c>
      <c r="AA1892">
        <v>9</v>
      </c>
      <c r="AB1892">
        <v>3</v>
      </c>
      <c r="AC1892">
        <v>0</v>
      </c>
      <c r="AD1892">
        <v>10</v>
      </c>
      <c r="AE1892">
        <v>0</v>
      </c>
      <c r="AF1892">
        <v>3</v>
      </c>
      <c r="AG1892">
        <v>2</v>
      </c>
      <c r="AH1892">
        <v>1</v>
      </c>
      <c r="AI1892" t="s">
        <v>1002</v>
      </c>
      <c r="AJ1892">
        <v>35.848903999999997</v>
      </c>
      <c r="AK1892" t="s">
        <v>1003</v>
      </c>
      <c r="AL1892">
        <v>-83.989427000000006</v>
      </c>
      <c r="AM1892">
        <v>25</v>
      </c>
      <c r="AN1892">
        <v>1550</v>
      </c>
      <c r="AO1892" t="s">
        <v>118</v>
      </c>
      <c r="AP1892">
        <v>85</v>
      </c>
      <c r="AQ1892">
        <v>84</v>
      </c>
      <c r="AR1892">
        <v>-384</v>
      </c>
      <c r="AZ1892">
        <v>300</v>
      </c>
      <c r="BA1892">
        <v>1</v>
      </c>
      <c r="BB1892" t="str">
        <f t="shared" si="92"/>
        <v xml:space="preserve">N162AM  </v>
      </c>
      <c r="BC1892">
        <v>1</v>
      </c>
      <c r="BE1892">
        <v>0</v>
      </c>
      <c r="BF1892">
        <v>0</v>
      </c>
      <c r="BG1892">
        <v>0</v>
      </c>
      <c r="BH1892">
        <v>1825</v>
      </c>
      <c r="BI1892">
        <v>1</v>
      </c>
      <c r="BJ1892">
        <v>1</v>
      </c>
      <c r="BK1892">
        <v>1</v>
      </c>
      <c r="BL1892">
        <v>0</v>
      </c>
      <c r="BO1892">
        <v>0</v>
      </c>
      <c r="BP1892">
        <v>0</v>
      </c>
      <c r="BW1892" t="str">
        <f>"14:52:45.926"</f>
        <v>14:52:45.926</v>
      </c>
      <c r="CJ1892">
        <v>3</v>
      </c>
      <c r="CK1892">
        <v>2</v>
      </c>
      <c r="CL1892">
        <v>0</v>
      </c>
      <c r="CM1892">
        <v>2</v>
      </c>
      <c r="CN1892">
        <v>0</v>
      </c>
      <c r="CO1892">
        <v>6</v>
      </c>
      <c r="CP1892" t="s">
        <v>119</v>
      </c>
      <c r="CQ1892">
        <v>232</v>
      </c>
      <c r="CR1892">
        <v>2</v>
      </c>
      <c r="CW1892">
        <v>6958985</v>
      </c>
      <c r="CY1892">
        <v>1</v>
      </c>
      <c r="CZ1892">
        <v>0</v>
      </c>
      <c r="DA1892">
        <v>1</v>
      </c>
      <c r="DB1892">
        <v>0</v>
      </c>
      <c r="DC1892">
        <v>0</v>
      </c>
      <c r="DD1892">
        <v>1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>"12/16/2021 14:52:46.164"</f>
        <v>12/16/2021 14:52:46.164</v>
      </c>
      <c r="C1893" t="str">
        <f t="shared" si="91"/>
        <v>FFDFD3C0</v>
      </c>
      <c r="D1893" t="s">
        <v>133</v>
      </c>
      <c r="E1893">
        <v>44</v>
      </c>
      <c r="H1893">
        <v>131</v>
      </c>
      <c r="I1893" t="s">
        <v>134</v>
      </c>
      <c r="J1893" t="s">
        <v>135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>"14:52:45.922"</f>
        <v>14:52:45.922</v>
      </c>
      <c r="T1893" t="str">
        <f>"14:52:45.422"</f>
        <v>14:52:45.422</v>
      </c>
      <c r="U1893" t="str">
        <f t="shared" si="93"/>
        <v>A0F928</v>
      </c>
      <c r="V1893">
        <v>0</v>
      </c>
      <c r="W1893">
        <v>0</v>
      </c>
      <c r="X1893">
        <v>2</v>
      </c>
      <c r="Z1893">
        <v>0</v>
      </c>
      <c r="AA1893">
        <v>9</v>
      </c>
      <c r="AB1893">
        <v>3</v>
      </c>
      <c r="AC1893">
        <v>0</v>
      </c>
      <c r="AD1893">
        <v>10</v>
      </c>
      <c r="AE1893">
        <v>0</v>
      </c>
      <c r="AF1893">
        <v>3</v>
      </c>
      <c r="AG1893">
        <v>2</v>
      </c>
      <c r="AH1893">
        <v>1</v>
      </c>
      <c r="AI1893" t="s">
        <v>1002</v>
      </c>
      <c r="AJ1893">
        <v>35.848903999999997</v>
      </c>
      <c r="AK1893" t="s">
        <v>1003</v>
      </c>
      <c r="AL1893">
        <v>-83.989427000000006</v>
      </c>
      <c r="AM1893">
        <v>25</v>
      </c>
      <c r="AN1893">
        <v>1550</v>
      </c>
      <c r="AO1893" t="s">
        <v>118</v>
      </c>
      <c r="AP1893">
        <v>85</v>
      </c>
      <c r="AQ1893">
        <v>84</v>
      </c>
      <c r="AR1893">
        <v>-384</v>
      </c>
      <c r="AZ1893">
        <v>300</v>
      </c>
      <c r="BA1893">
        <v>1</v>
      </c>
      <c r="BB1893" t="str">
        <f t="shared" si="92"/>
        <v xml:space="preserve">N162AM  </v>
      </c>
      <c r="BC1893">
        <v>1</v>
      </c>
      <c r="BE1893">
        <v>0</v>
      </c>
      <c r="BF1893">
        <v>0</v>
      </c>
      <c r="BG1893">
        <v>0</v>
      </c>
      <c r="BH1893">
        <v>1825</v>
      </c>
      <c r="BI1893">
        <v>1</v>
      </c>
      <c r="BJ1893">
        <v>1</v>
      </c>
      <c r="BK1893">
        <v>1</v>
      </c>
      <c r="BL1893">
        <v>0</v>
      </c>
      <c r="BO1893">
        <v>0</v>
      </c>
      <c r="BP1893">
        <v>0</v>
      </c>
      <c r="BW1893" t="str">
        <f>"14:52:45.926"</f>
        <v>14:52:45.926</v>
      </c>
      <c r="CJ1893">
        <v>3</v>
      </c>
      <c r="CK1893">
        <v>2</v>
      </c>
      <c r="CL1893">
        <v>0</v>
      </c>
      <c r="CM1893">
        <v>2</v>
      </c>
      <c r="CN1893">
        <v>0</v>
      </c>
      <c r="CO1893">
        <v>6</v>
      </c>
      <c r="CP1893" t="s">
        <v>119</v>
      </c>
      <c r="CQ1893">
        <v>232</v>
      </c>
      <c r="CR1893">
        <v>2</v>
      </c>
      <c r="CW1893">
        <v>6958985</v>
      </c>
      <c r="CY1893">
        <v>1</v>
      </c>
      <c r="CZ1893">
        <v>0</v>
      </c>
      <c r="DA1893">
        <v>1</v>
      </c>
      <c r="DB1893">
        <v>0</v>
      </c>
      <c r="DC1893">
        <v>0</v>
      </c>
      <c r="DD1893">
        <v>1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>"12/16/2021 14:52:47.148"</f>
        <v>12/16/2021 14:52:47.148</v>
      </c>
      <c r="C1894" t="str">
        <f t="shared" si="91"/>
        <v>FFDFD3C0</v>
      </c>
      <c r="D1894" t="s">
        <v>113</v>
      </c>
      <c r="E1894">
        <v>8</v>
      </c>
      <c r="H1894">
        <v>176</v>
      </c>
      <c r="I1894" t="s">
        <v>114</v>
      </c>
      <c r="J1894" t="s">
        <v>115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>"14:52:46.945"</f>
        <v>14:52:46.945</v>
      </c>
      <c r="T1894" t="str">
        <f>"14:52:46.545"</f>
        <v>14:52:46.545</v>
      </c>
      <c r="U1894" t="str">
        <f t="shared" si="93"/>
        <v>A0F928</v>
      </c>
      <c r="V1894">
        <v>0</v>
      </c>
      <c r="W1894">
        <v>0</v>
      </c>
      <c r="X1894">
        <v>2</v>
      </c>
      <c r="Z1894">
        <v>0</v>
      </c>
      <c r="AA1894">
        <v>9</v>
      </c>
      <c r="AB1894">
        <v>3</v>
      </c>
      <c r="AC1894">
        <v>0</v>
      </c>
      <c r="AD1894">
        <v>10</v>
      </c>
      <c r="AE1894">
        <v>0</v>
      </c>
      <c r="AF1894">
        <v>3</v>
      </c>
      <c r="AG1894">
        <v>2</v>
      </c>
      <c r="AH1894">
        <v>1</v>
      </c>
      <c r="AI1894" t="s">
        <v>1004</v>
      </c>
      <c r="AJ1894">
        <v>35.849268000000002</v>
      </c>
      <c r="AK1894" t="s">
        <v>1005</v>
      </c>
      <c r="AL1894">
        <v>-83.988955000000004</v>
      </c>
      <c r="AM1894">
        <v>25</v>
      </c>
      <c r="AN1894">
        <v>1550</v>
      </c>
      <c r="AO1894" t="s">
        <v>118</v>
      </c>
      <c r="AP1894">
        <v>85</v>
      </c>
      <c r="AQ1894">
        <v>84</v>
      </c>
      <c r="AR1894">
        <v>-384</v>
      </c>
      <c r="AZ1894">
        <v>300</v>
      </c>
      <c r="BA1894">
        <v>1</v>
      </c>
      <c r="BB1894" t="str">
        <f t="shared" si="92"/>
        <v xml:space="preserve">N162AM  </v>
      </c>
      <c r="BC1894">
        <v>1</v>
      </c>
      <c r="BE1894">
        <v>0</v>
      </c>
      <c r="BF1894">
        <v>0</v>
      </c>
      <c r="BG1894">
        <v>0</v>
      </c>
      <c r="BH1894">
        <v>1800</v>
      </c>
      <c r="BI1894">
        <v>1</v>
      </c>
      <c r="BJ1894">
        <v>1</v>
      </c>
      <c r="BK1894">
        <v>1</v>
      </c>
      <c r="BL1894">
        <v>0</v>
      </c>
      <c r="BO1894">
        <v>0</v>
      </c>
      <c r="BP1894">
        <v>0</v>
      </c>
      <c r="BW1894" t="str">
        <f>"14:52:46.949"</f>
        <v>14:52:46.949</v>
      </c>
      <c r="CJ1894">
        <v>3</v>
      </c>
      <c r="CK1894">
        <v>2</v>
      </c>
      <c r="CL1894">
        <v>0</v>
      </c>
      <c r="CM1894">
        <v>2</v>
      </c>
      <c r="CN1894">
        <v>0</v>
      </c>
      <c r="CO1894">
        <v>6</v>
      </c>
      <c r="CP1894" t="s">
        <v>119</v>
      </c>
      <c r="CQ1894">
        <v>232</v>
      </c>
      <c r="CR1894">
        <v>2</v>
      </c>
      <c r="CW1894">
        <v>6960514</v>
      </c>
      <c r="CY1894">
        <v>1</v>
      </c>
      <c r="CZ1894">
        <v>0</v>
      </c>
      <c r="DA1894">
        <v>0</v>
      </c>
      <c r="DB1894">
        <v>0</v>
      </c>
      <c r="DC1894">
        <v>0</v>
      </c>
      <c r="DD1894">
        <v>1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>"12/16/2021 14:52:47.148"</f>
        <v>12/16/2021 14:52:47.148</v>
      </c>
      <c r="C1895" t="str">
        <f t="shared" si="91"/>
        <v>FFDFD3C0</v>
      </c>
      <c r="D1895" t="s">
        <v>124</v>
      </c>
      <c r="E1895">
        <v>5</v>
      </c>
      <c r="F1895">
        <v>1005</v>
      </c>
      <c r="G1895" t="s">
        <v>114</v>
      </c>
      <c r="J1895" t="s">
        <v>125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"14:52:46.945"</f>
        <v>14:52:46.945</v>
      </c>
      <c r="T1895" t="str">
        <f>"14:52:46.545"</f>
        <v>14:52:46.545</v>
      </c>
      <c r="U1895" t="str">
        <f t="shared" si="93"/>
        <v>A0F928</v>
      </c>
      <c r="V1895">
        <v>0</v>
      </c>
      <c r="W1895">
        <v>0</v>
      </c>
      <c r="X1895">
        <v>2</v>
      </c>
      <c r="Z1895">
        <v>0</v>
      </c>
      <c r="AA1895">
        <v>9</v>
      </c>
      <c r="AB1895">
        <v>3</v>
      </c>
      <c r="AC1895">
        <v>0</v>
      </c>
      <c r="AD1895">
        <v>10</v>
      </c>
      <c r="AE1895">
        <v>0</v>
      </c>
      <c r="AF1895">
        <v>3</v>
      </c>
      <c r="AG1895">
        <v>2</v>
      </c>
      <c r="AH1895">
        <v>1</v>
      </c>
      <c r="AI1895" t="s">
        <v>1004</v>
      </c>
      <c r="AJ1895">
        <v>35.849268000000002</v>
      </c>
      <c r="AK1895" t="s">
        <v>1005</v>
      </c>
      <c r="AL1895">
        <v>-83.988955000000004</v>
      </c>
      <c r="AM1895">
        <v>25</v>
      </c>
      <c r="AN1895">
        <v>1550</v>
      </c>
      <c r="AO1895" t="s">
        <v>118</v>
      </c>
      <c r="AP1895">
        <v>85</v>
      </c>
      <c r="AQ1895">
        <v>84</v>
      </c>
      <c r="AR1895">
        <v>-384</v>
      </c>
      <c r="AZ1895">
        <v>300</v>
      </c>
      <c r="BA1895">
        <v>1</v>
      </c>
      <c r="BB1895" t="str">
        <f t="shared" si="92"/>
        <v xml:space="preserve">N162AM  </v>
      </c>
      <c r="BC1895">
        <v>1</v>
      </c>
      <c r="BE1895">
        <v>0</v>
      </c>
      <c r="BF1895">
        <v>0</v>
      </c>
      <c r="BG1895">
        <v>0</v>
      </c>
      <c r="BH1895">
        <v>1800</v>
      </c>
      <c r="BI1895">
        <v>1</v>
      </c>
      <c r="BJ1895">
        <v>1</v>
      </c>
      <c r="BK1895">
        <v>1</v>
      </c>
      <c r="BL1895">
        <v>0</v>
      </c>
      <c r="BO1895">
        <v>0</v>
      </c>
      <c r="BP1895">
        <v>0</v>
      </c>
      <c r="BW1895" t="str">
        <f>"14:52:46.949"</f>
        <v>14:52:46.949</v>
      </c>
      <c r="CJ1895">
        <v>3</v>
      </c>
      <c r="CK1895">
        <v>2</v>
      </c>
      <c r="CL1895">
        <v>0</v>
      </c>
      <c r="CM1895">
        <v>2</v>
      </c>
      <c r="CN1895">
        <v>0</v>
      </c>
      <c r="CO1895">
        <v>6</v>
      </c>
      <c r="CP1895" t="s">
        <v>119</v>
      </c>
      <c r="CQ1895">
        <v>232</v>
      </c>
      <c r="CR1895">
        <v>2</v>
      </c>
      <c r="CW1895">
        <v>6960514</v>
      </c>
      <c r="CY1895">
        <v>1</v>
      </c>
      <c r="CZ1895">
        <v>0</v>
      </c>
      <c r="DA1895">
        <v>1</v>
      </c>
      <c r="DB1895">
        <v>0</v>
      </c>
      <c r="DC1895">
        <v>0</v>
      </c>
      <c r="DD1895">
        <v>1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>"12/16/2021 14:52:47.164"</f>
        <v>12/16/2021 14:52:47.164</v>
      </c>
      <c r="C1896" t="str">
        <f t="shared" si="91"/>
        <v>FFDFD3C0</v>
      </c>
      <c r="D1896" t="s">
        <v>133</v>
      </c>
      <c r="E1896">
        <v>44</v>
      </c>
      <c r="H1896">
        <v>131</v>
      </c>
      <c r="I1896" t="s">
        <v>134</v>
      </c>
      <c r="J1896" t="s">
        <v>135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"14:52:46.945"</f>
        <v>14:52:46.945</v>
      </c>
      <c r="T1896" t="str">
        <f>"14:52:46.545"</f>
        <v>14:52:46.545</v>
      </c>
      <c r="U1896" t="str">
        <f t="shared" si="93"/>
        <v>A0F928</v>
      </c>
      <c r="V1896">
        <v>0</v>
      </c>
      <c r="W1896">
        <v>0</v>
      </c>
      <c r="X1896">
        <v>2</v>
      </c>
      <c r="Z1896">
        <v>0</v>
      </c>
      <c r="AA1896">
        <v>9</v>
      </c>
      <c r="AB1896">
        <v>3</v>
      </c>
      <c r="AC1896">
        <v>0</v>
      </c>
      <c r="AD1896">
        <v>10</v>
      </c>
      <c r="AE1896">
        <v>0</v>
      </c>
      <c r="AF1896">
        <v>3</v>
      </c>
      <c r="AG1896">
        <v>2</v>
      </c>
      <c r="AH1896">
        <v>1</v>
      </c>
      <c r="AI1896" t="s">
        <v>1004</v>
      </c>
      <c r="AJ1896">
        <v>35.849268000000002</v>
      </c>
      <c r="AK1896" t="s">
        <v>1005</v>
      </c>
      <c r="AL1896">
        <v>-83.988955000000004</v>
      </c>
      <c r="AM1896">
        <v>25</v>
      </c>
      <c r="AN1896">
        <v>1550</v>
      </c>
      <c r="AO1896" t="s">
        <v>118</v>
      </c>
      <c r="AP1896">
        <v>85</v>
      </c>
      <c r="AQ1896">
        <v>84</v>
      </c>
      <c r="AR1896">
        <v>-384</v>
      </c>
      <c r="AZ1896">
        <v>300</v>
      </c>
      <c r="BA1896">
        <v>1</v>
      </c>
      <c r="BB1896" t="str">
        <f t="shared" si="92"/>
        <v xml:space="preserve">N162AM  </v>
      </c>
      <c r="BC1896">
        <v>1</v>
      </c>
      <c r="BE1896">
        <v>0</v>
      </c>
      <c r="BF1896">
        <v>0</v>
      </c>
      <c r="BG1896">
        <v>0</v>
      </c>
      <c r="BH1896">
        <v>1800</v>
      </c>
      <c r="BI1896">
        <v>1</v>
      </c>
      <c r="BJ1896">
        <v>1</v>
      </c>
      <c r="BK1896">
        <v>1</v>
      </c>
      <c r="BL1896">
        <v>0</v>
      </c>
      <c r="BO1896">
        <v>0</v>
      </c>
      <c r="BP1896">
        <v>0</v>
      </c>
      <c r="BW1896" t="str">
        <f>"14:52:46.949"</f>
        <v>14:52:46.949</v>
      </c>
      <c r="CJ1896">
        <v>3</v>
      </c>
      <c r="CK1896">
        <v>2</v>
      </c>
      <c r="CL1896">
        <v>0</v>
      </c>
      <c r="CM1896">
        <v>2</v>
      </c>
      <c r="CN1896">
        <v>0</v>
      </c>
      <c r="CO1896">
        <v>6</v>
      </c>
      <c r="CP1896" t="s">
        <v>119</v>
      </c>
      <c r="CQ1896">
        <v>232</v>
      </c>
      <c r="CR1896">
        <v>2</v>
      </c>
      <c r="CW1896">
        <v>6960514</v>
      </c>
      <c r="CY1896">
        <v>1</v>
      </c>
      <c r="CZ1896">
        <v>0</v>
      </c>
      <c r="DA1896">
        <v>1</v>
      </c>
      <c r="DB1896">
        <v>0</v>
      </c>
      <c r="DC1896">
        <v>0</v>
      </c>
      <c r="DD1896">
        <v>1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>"12/16/2021 14:52:47.180"</f>
        <v>12/16/2021 14:52:47.180</v>
      </c>
      <c r="C1897" t="str">
        <f t="shared" si="91"/>
        <v>FFDFD3C0</v>
      </c>
      <c r="D1897" t="s">
        <v>124</v>
      </c>
      <c r="E1897">
        <v>10</v>
      </c>
      <c r="F1897">
        <v>1010</v>
      </c>
      <c r="G1897" t="s">
        <v>130</v>
      </c>
      <c r="J1897" t="s">
        <v>125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"14:52:46.945"</f>
        <v>14:52:46.945</v>
      </c>
      <c r="T1897" t="str">
        <f>"14:52:46.545"</f>
        <v>14:52:46.545</v>
      </c>
      <c r="U1897" t="str">
        <f t="shared" si="93"/>
        <v>A0F928</v>
      </c>
      <c r="V1897">
        <v>0</v>
      </c>
      <c r="W1897">
        <v>0</v>
      </c>
      <c r="X1897">
        <v>2</v>
      </c>
      <c r="Z1897">
        <v>0</v>
      </c>
      <c r="AA1897">
        <v>9</v>
      </c>
      <c r="AB1897">
        <v>3</v>
      </c>
      <c r="AC1897">
        <v>0</v>
      </c>
      <c r="AD1897">
        <v>10</v>
      </c>
      <c r="AE1897">
        <v>0</v>
      </c>
      <c r="AF1897">
        <v>3</v>
      </c>
      <c r="AG1897">
        <v>2</v>
      </c>
      <c r="AH1897">
        <v>1</v>
      </c>
      <c r="AI1897" t="s">
        <v>1004</v>
      </c>
      <c r="AJ1897">
        <v>35.849268000000002</v>
      </c>
      <c r="AK1897" t="s">
        <v>1005</v>
      </c>
      <c r="AL1897">
        <v>-83.988955000000004</v>
      </c>
      <c r="AM1897">
        <v>25</v>
      </c>
      <c r="AN1897">
        <v>1550</v>
      </c>
      <c r="AO1897" t="s">
        <v>118</v>
      </c>
      <c r="AP1897">
        <v>85</v>
      </c>
      <c r="AQ1897">
        <v>84</v>
      </c>
      <c r="AR1897">
        <v>-384</v>
      </c>
      <c r="AZ1897">
        <v>300</v>
      </c>
      <c r="BA1897">
        <v>1</v>
      </c>
      <c r="BB1897" t="str">
        <f t="shared" si="92"/>
        <v xml:space="preserve">N162AM  </v>
      </c>
      <c r="BC1897">
        <v>1</v>
      </c>
      <c r="BE1897">
        <v>0</v>
      </c>
      <c r="BF1897">
        <v>0</v>
      </c>
      <c r="BG1897">
        <v>0</v>
      </c>
      <c r="BH1897">
        <v>1800</v>
      </c>
      <c r="BI1897">
        <v>1</v>
      </c>
      <c r="BJ1897">
        <v>1</v>
      </c>
      <c r="BK1897">
        <v>1</v>
      </c>
      <c r="BL1897">
        <v>0</v>
      </c>
      <c r="BO1897">
        <v>0</v>
      </c>
      <c r="BP1897">
        <v>0</v>
      </c>
      <c r="BW1897" t="str">
        <f>"14:52:46.949"</f>
        <v>14:52:46.949</v>
      </c>
      <c r="CJ1897">
        <v>3</v>
      </c>
      <c r="CK1897">
        <v>2</v>
      </c>
      <c r="CL1897">
        <v>0</v>
      </c>
      <c r="CM1897">
        <v>2</v>
      </c>
      <c r="CN1897">
        <v>0</v>
      </c>
      <c r="CO1897">
        <v>6</v>
      </c>
      <c r="CP1897" t="s">
        <v>119</v>
      </c>
      <c r="CQ1897">
        <v>232</v>
      </c>
      <c r="CR1897">
        <v>2</v>
      </c>
      <c r="CW1897">
        <v>6960514</v>
      </c>
      <c r="CY1897">
        <v>1</v>
      </c>
      <c r="CZ1897">
        <v>0</v>
      </c>
      <c r="DA1897">
        <v>1</v>
      </c>
      <c r="DB1897">
        <v>0</v>
      </c>
      <c r="DC1897">
        <v>0</v>
      </c>
      <c r="DD1897">
        <v>1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>"12/16/2021 14:52:48.164"</f>
        <v>12/16/2021 14:52:48.164</v>
      </c>
      <c r="C1898" t="str">
        <f t="shared" si="91"/>
        <v>FFDFD3C0</v>
      </c>
      <c r="D1898" t="s">
        <v>113</v>
      </c>
      <c r="E1898">
        <v>8</v>
      </c>
      <c r="H1898">
        <v>176</v>
      </c>
      <c r="I1898" t="s">
        <v>114</v>
      </c>
      <c r="J1898" t="s">
        <v>115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>"14:52:47.961"</f>
        <v>14:52:47.961</v>
      </c>
      <c r="T1898" t="str">
        <f>"14:52:47.461"</f>
        <v>14:52:47.461</v>
      </c>
      <c r="U1898" t="str">
        <f t="shared" si="93"/>
        <v>A0F928</v>
      </c>
      <c r="V1898">
        <v>0</v>
      </c>
      <c r="W1898">
        <v>0</v>
      </c>
      <c r="X1898">
        <v>2</v>
      </c>
      <c r="Z1898">
        <v>0</v>
      </c>
      <c r="AA1898">
        <v>9</v>
      </c>
      <c r="AB1898">
        <v>3</v>
      </c>
      <c r="AC1898">
        <v>0</v>
      </c>
      <c r="AD1898">
        <v>10</v>
      </c>
      <c r="AE1898">
        <v>0</v>
      </c>
      <c r="AF1898">
        <v>3</v>
      </c>
      <c r="AG1898">
        <v>2</v>
      </c>
      <c r="AH1898">
        <v>1</v>
      </c>
      <c r="AI1898" t="s">
        <v>1006</v>
      </c>
      <c r="AJ1898">
        <v>35.849719</v>
      </c>
      <c r="AK1898" t="s">
        <v>1007</v>
      </c>
      <c r="AL1898">
        <v>-83.988418999999993</v>
      </c>
      <c r="AM1898">
        <v>25</v>
      </c>
      <c r="AN1898">
        <v>1550</v>
      </c>
      <c r="AO1898" t="s">
        <v>118</v>
      </c>
      <c r="AP1898">
        <v>85</v>
      </c>
      <c r="AQ1898">
        <v>84</v>
      </c>
      <c r="AR1898">
        <v>-320</v>
      </c>
      <c r="AZ1898">
        <v>300</v>
      </c>
      <c r="BA1898">
        <v>1</v>
      </c>
      <c r="BB1898" t="str">
        <f t="shared" si="92"/>
        <v xml:space="preserve">N162AM  </v>
      </c>
      <c r="BC1898">
        <v>1</v>
      </c>
      <c r="BE1898">
        <v>0</v>
      </c>
      <c r="BF1898">
        <v>0</v>
      </c>
      <c r="BG1898">
        <v>0</v>
      </c>
      <c r="BH1898">
        <v>1800</v>
      </c>
      <c r="BI1898">
        <v>1</v>
      </c>
      <c r="BJ1898">
        <v>1</v>
      </c>
      <c r="BK1898">
        <v>1</v>
      </c>
      <c r="BL1898">
        <v>0</v>
      </c>
      <c r="BO1898">
        <v>0</v>
      </c>
      <c r="BP1898">
        <v>0</v>
      </c>
      <c r="BW1898" t="str">
        <f>"14:52:47.961"</f>
        <v>14:52:47.961</v>
      </c>
      <c r="CJ1898">
        <v>3</v>
      </c>
      <c r="CK1898">
        <v>2</v>
      </c>
      <c r="CL1898">
        <v>0</v>
      </c>
      <c r="CM1898">
        <v>2</v>
      </c>
      <c r="CN1898">
        <v>0</v>
      </c>
      <c r="CO1898">
        <v>6</v>
      </c>
      <c r="CP1898" t="s">
        <v>119</v>
      </c>
      <c r="CQ1898">
        <v>232</v>
      </c>
      <c r="CR1898">
        <v>2</v>
      </c>
      <c r="CW1898">
        <v>6962069</v>
      </c>
      <c r="CY1898">
        <v>1</v>
      </c>
      <c r="CZ1898">
        <v>0</v>
      </c>
      <c r="DA1898">
        <v>0</v>
      </c>
      <c r="DB1898">
        <v>0</v>
      </c>
      <c r="DC1898">
        <v>0</v>
      </c>
      <c r="DD1898">
        <v>1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>"12/16/2021 14:52:48.164"</f>
        <v>12/16/2021 14:52:48.164</v>
      </c>
      <c r="C1899" t="str">
        <f t="shared" si="91"/>
        <v>FFDFD3C0</v>
      </c>
      <c r="D1899" t="s">
        <v>124</v>
      </c>
      <c r="E1899">
        <v>5</v>
      </c>
      <c r="F1899">
        <v>1005</v>
      </c>
      <c r="G1899" t="s">
        <v>114</v>
      </c>
      <c r="J1899" t="s">
        <v>125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>"14:52:47.961"</f>
        <v>14:52:47.961</v>
      </c>
      <c r="T1899" t="str">
        <f>"14:52:47.461"</f>
        <v>14:52:47.461</v>
      </c>
      <c r="U1899" t="str">
        <f t="shared" si="93"/>
        <v>A0F928</v>
      </c>
      <c r="V1899">
        <v>0</v>
      </c>
      <c r="W1899">
        <v>0</v>
      </c>
      <c r="X1899">
        <v>2</v>
      </c>
      <c r="Z1899">
        <v>0</v>
      </c>
      <c r="AA1899">
        <v>9</v>
      </c>
      <c r="AB1899">
        <v>3</v>
      </c>
      <c r="AC1899">
        <v>0</v>
      </c>
      <c r="AD1899">
        <v>10</v>
      </c>
      <c r="AE1899">
        <v>0</v>
      </c>
      <c r="AF1899">
        <v>3</v>
      </c>
      <c r="AG1899">
        <v>2</v>
      </c>
      <c r="AH1899">
        <v>1</v>
      </c>
      <c r="AI1899" t="s">
        <v>1006</v>
      </c>
      <c r="AJ1899">
        <v>35.849719</v>
      </c>
      <c r="AK1899" t="s">
        <v>1007</v>
      </c>
      <c r="AL1899">
        <v>-83.988418999999993</v>
      </c>
      <c r="AM1899">
        <v>25</v>
      </c>
      <c r="AN1899">
        <v>1550</v>
      </c>
      <c r="AO1899" t="s">
        <v>118</v>
      </c>
      <c r="AP1899">
        <v>85</v>
      </c>
      <c r="AQ1899">
        <v>84</v>
      </c>
      <c r="AR1899">
        <v>-320</v>
      </c>
      <c r="AZ1899">
        <v>300</v>
      </c>
      <c r="BA1899">
        <v>1</v>
      </c>
      <c r="BB1899" t="str">
        <f t="shared" si="92"/>
        <v xml:space="preserve">N162AM  </v>
      </c>
      <c r="BC1899">
        <v>1</v>
      </c>
      <c r="BE1899">
        <v>0</v>
      </c>
      <c r="BF1899">
        <v>0</v>
      </c>
      <c r="BG1899">
        <v>0</v>
      </c>
      <c r="BH1899">
        <v>1800</v>
      </c>
      <c r="BI1899">
        <v>1</v>
      </c>
      <c r="BJ1899">
        <v>1</v>
      </c>
      <c r="BK1899">
        <v>1</v>
      </c>
      <c r="BL1899">
        <v>0</v>
      </c>
      <c r="BO1899">
        <v>0</v>
      </c>
      <c r="BP1899">
        <v>0</v>
      </c>
      <c r="BW1899" t="str">
        <f>"14:52:47.961"</f>
        <v>14:52:47.961</v>
      </c>
      <c r="CJ1899">
        <v>3</v>
      </c>
      <c r="CK1899">
        <v>2</v>
      </c>
      <c r="CL1899">
        <v>0</v>
      </c>
      <c r="CM1899">
        <v>2</v>
      </c>
      <c r="CN1899">
        <v>0</v>
      </c>
      <c r="CO1899">
        <v>6</v>
      </c>
      <c r="CP1899" t="s">
        <v>119</v>
      </c>
      <c r="CQ1899">
        <v>232</v>
      </c>
      <c r="CR1899">
        <v>2</v>
      </c>
      <c r="CW1899">
        <v>6962069</v>
      </c>
      <c r="CY1899">
        <v>1</v>
      </c>
      <c r="CZ1899">
        <v>0</v>
      </c>
      <c r="DA1899">
        <v>1</v>
      </c>
      <c r="DB1899">
        <v>0</v>
      </c>
      <c r="DC1899">
        <v>0</v>
      </c>
      <c r="DD1899">
        <v>1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>"12/16/2021 14:52:48.227"</f>
        <v>12/16/2021 14:52:48.227</v>
      </c>
      <c r="C1900" t="str">
        <f t="shared" si="91"/>
        <v>FFDFD3C0</v>
      </c>
      <c r="D1900" t="s">
        <v>133</v>
      </c>
      <c r="E1900">
        <v>44</v>
      </c>
      <c r="H1900">
        <v>131</v>
      </c>
      <c r="I1900" t="s">
        <v>134</v>
      </c>
      <c r="J1900" t="s">
        <v>135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>"14:52:47.961"</f>
        <v>14:52:47.961</v>
      </c>
      <c r="T1900" t="str">
        <f>"14:52:47.461"</f>
        <v>14:52:47.461</v>
      </c>
      <c r="U1900" t="str">
        <f t="shared" si="93"/>
        <v>A0F928</v>
      </c>
      <c r="V1900">
        <v>0</v>
      </c>
      <c r="W1900">
        <v>0</v>
      </c>
      <c r="X1900">
        <v>2</v>
      </c>
      <c r="Z1900">
        <v>0</v>
      </c>
      <c r="AA1900">
        <v>9</v>
      </c>
      <c r="AB1900">
        <v>3</v>
      </c>
      <c r="AC1900">
        <v>0</v>
      </c>
      <c r="AD1900">
        <v>10</v>
      </c>
      <c r="AE1900">
        <v>0</v>
      </c>
      <c r="AF1900">
        <v>3</v>
      </c>
      <c r="AG1900">
        <v>2</v>
      </c>
      <c r="AH1900">
        <v>1</v>
      </c>
      <c r="AI1900" t="s">
        <v>1006</v>
      </c>
      <c r="AJ1900">
        <v>35.849719</v>
      </c>
      <c r="AK1900" t="s">
        <v>1007</v>
      </c>
      <c r="AL1900">
        <v>-83.988418999999993</v>
      </c>
      <c r="AM1900">
        <v>25</v>
      </c>
      <c r="AN1900">
        <v>1550</v>
      </c>
      <c r="AO1900" t="s">
        <v>118</v>
      </c>
      <c r="AP1900">
        <v>85</v>
      </c>
      <c r="AQ1900">
        <v>84</v>
      </c>
      <c r="AR1900">
        <v>-320</v>
      </c>
      <c r="AZ1900">
        <v>300</v>
      </c>
      <c r="BA1900">
        <v>1</v>
      </c>
      <c r="BB1900" t="str">
        <f t="shared" si="92"/>
        <v xml:space="preserve">N162AM  </v>
      </c>
      <c r="BC1900">
        <v>1</v>
      </c>
      <c r="BE1900">
        <v>0</v>
      </c>
      <c r="BF1900">
        <v>0</v>
      </c>
      <c r="BG1900">
        <v>0</v>
      </c>
      <c r="BH1900">
        <v>1800</v>
      </c>
      <c r="BI1900">
        <v>1</v>
      </c>
      <c r="BJ1900">
        <v>1</v>
      </c>
      <c r="BK1900">
        <v>1</v>
      </c>
      <c r="BL1900">
        <v>0</v>
      </c>
      <c r="BO1900">
        <v>0</v>
      </c>
      <c r="BP1900">
        <v>0</v>
      </c>
      <c r="BW1900" t="str">
        <f>"14:52:47.961"</f>
        <v>14:52:47.961</v>
      </c>
      <c r="CJ1900">
        <v>3</v>
      </c>
      <c r="CK1900">
        <v>2</v>
      </c>
      <c r="CL1900">
        <v>0</v>
      </c>
      <c r="CM1900">
        <v>2</v>
      </c>
      <c r="CN1900">
        <v>0</v>
      </c>
      <c r="CO1900">
        <v>6</v>
      </c>
      <c r="CP1900" t="s">
        <v>119</v>
      </c>
      <c r="CQ1900">
        <v>232</v>
      </c>
      <c r="CR1900">
        <v>2</v>
      </c>
      <c r="CW1900">
        <v>6962069</v>
      </c>
      <c r="CY1900">
        <v>1</v>
      </c>
      <c r="CZ1900">
        <v>0</v>
      </c>
      <c r="DA1900">
        <v>1</v>
      </c>
      <c r="DB1900">
        <v>0</v>
      </c>
      <c r="DC1900">
        <v>0</v>
      </c>
      <c r="DD1900">
        <v>1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>"12/16/2021 14:52:48.227"</f>
        <v>12/16/2021 14:52:48.227</v>
      </c>
      <c r="C1901" t="str">
        <f t="shared" si="91"/>
        <v>FFDFD3C0</v>
      </c>
      <c r="D1901" t="s">
        <v>124</v>
      </c>
      <c r="E1901">
        <v>10</v>
      </c>
      <c r="F1901">
        <v>1010</v>
      </c>
      <c r="G1901" t="s">
        <v>130</v>
      </c>
      <c r="J1901" t="s">
        <v>125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>"14:52:47.961"</f>
        <v>14:52:47.961</v>
      </c>
      <c r="T1901" t="str">
        <f>"14:52:47.461"</f>
        <v>14:52:47.461</v>
      </c>
      <c r="U1901" t="str">
        <f t="shared" si="93"/>
        <v>A0F928</v>
      </c>
      <c r="V1901">
        <v>0</v>
      </c>
      <c r="W1901">
        <v>0</v>
      </c>
      <c r="X1901">
        <v>2</v>
      </c>
      <c r="Z1901">
        <v>0</v>
      </c>
      <c r="AA1901">
        <v>9</v>
      </c>
      <c r="AB1901">
        <v>3</v>
      </c>
      <c r="AC1901">
        <v>0</v>
      </c>
      <c r="AD1901">
        <v>10</v>
      </c>
      <c r="AE1901">
        <v>0</v>
      </c>
      <c r="AF1901">
        <v>3</v>
      </c>
      <c r="AG1901">
        <v>2</v>
      </c>
      <c r="AH1901">
        <v>1</v>
      </c>
      <c r="AI1901" t="s">
        <v>1006</v>
      </c>
      <c r="AJ1901">
        <v>35.849719</v>
      </c>
      <c r="AK1901" t="s">
        <v>1007</v>
      </c>
      <c r="AL1901">
        <v>-83.988418999999993</v>
      </c>
      <c r="AM1901">
        <v>25</v>
      </c>
      <c r="AN1901">
        <v>1550</v>
      </c>
      <c r="AO1901" t="s">
        <v>118</v>
      </c>
      <c r="AP1901">
        <v>85</v>
      </c>
      <c r="AQ1901">
        <v>84</v>
      </c>
      <c r="AR1901">
        <v>-320</v>
      </c>
      <c r="AZ1901">
        <v>300</v>
      </c>
      <c r="BA1901">
        <v>1</v>
      </c>
      <c r="BB1901" t="str">
        <f t="shared" si="92"/>
        <v xml:space="preserve">N162AM  </v>
      </c>
      <c r="BC1901">
        <v>1</v>
      </c>
      <c r="BE1901">
        <v>0</v>
      </c>
      <c r="BF1901">
        <v>0</v>
      </c>
      <c r="BG1901">
        <v>0</v>
      </c>
      <c r="BH1901">
        <v>1800</v>
      </c>
      <c r="BI1901">
        <v>1</v>
      </c>
      <c r="BJ1901">
        <v>1</v>
      </c>
      <c r="BK1901">
        <v>1</v>
      </c>
      <c r="BL1901">
        <v>0</v>
      </c>
      <c r="BO1901">
        <v>0</v>
      </c>
      <c r="BP1901">
        <v>0</v>
      </c>
      <c r="BW1901" t="str">
        <f>"14:52:47.961"</f>
        <v>14:52:47.961</v>
      </c>
      <c r="CJ1901">
        <v>3</v>
      </c>
      <c r="CK1901">
        <v>2</v>
      </c>
      <c r="CL1901">
        <v>0</v>
      </c>
      <c r="CM1901">
        <v>2</v>
      </c>
      <c r="CN1901">
        <v>0</v>
      </c>
      <c r="CO1901">
        <v>6</v>
      </c>
      <c r="CP1901" t="s">
        <v>119</v>
      </c>
      <c r="CQ1901">
        <v>232</v>
      </c>
      <c r="CR1901">
        <v>2</v>
      </c>
      <c r="CW1901">
        <v>6962069</v>
      </c>
      <c r="CY1901">
        <v>1</v>
      </c>
      <c r="CZ1901">
        <v>0</v>
      </c>
      <c r="DA1901">
        <v>1</v>
      </c>
      <c r="DB1901">
        <v>0</v>
      </c>
      <c r="DC1901">
        <v>0</v>
      </c>
      <c r="DD1901">
        <v>1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>"12/16/2021 14:52:49.227"</f>
        <v>12/16/2021 14:52:49.227</v>
      </c>
      <c r="C1902" t="str">
        <f t="shared" ref="C1902:C1965" si="94">"FFDFD3C0"</f>
        <v>FFDFD3C0</v>
      </c>
      <c r="D1902" t="s">
        <v>124</v>
      </c>
      <c r="E1902">
        <v>5</v>
      </c>
      <c r="F1902">
        <v>1005</v>
      </c>
      <c r="G1902" t="s">
        <v>114</v>
      </c>
      <c r="J1902" t="s">
        <v>125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>"14:52:49.016"</f>
        <v>14:52:49.016</v>
      </c>
      <c r="T1902" t="str">
        <f>"14:52:48.616"</f>
        <v>14:52:48.616</v>
      </c>
      <c r="U1902" t="str">
        <f t="shared" si="93"/>
        <v>A0F928</v>
      </c>
      <c r="V1902">
        <v>0</v>
      </c>
      <c r="W1902">
        <v>0</v>
      </c>
      <c r="X1902">
        <v>2</v>
      </c>
      <c r="Z1902">
        <v>0</v>
      </c>
      <c r="AA1902">
        <v>9</v>
      </c>
      <c r="AB1902">
        <v>3</v>
      </c>
      <c r="AC1902">
        <v>0</v>
      </c>
      <c r="AD1902">
        <v>10</v>
      </c>
      <c r="AE1902">
        <v>0</v>
      </c>
      <c r="AF1902">
        <v>3</v>
      </c>
      <c r="AG1902">
        <v>2</v>
      </c>
      <c r="AH1902">
        <v>1</v>
      </c>
      <c r="AI1902" t="s">
        <v>1008</v>
      </c>
      <c r="AJ1902">
        <v>35.850084000000003</v>
      </c>
      <c r="AK1902" t="s">
        <v>1009</v>
      </c>
      <c r="AL1902">
        <v>-83.987967999999995</v>
      </c>
      <c r="AM1902">
        <v>25</v>
      </c>
      <c r="AN1902">
        <v>1550</v>
      </c>
      <c r="AO1902" t="s">
        <v>118</v>
      </c>
      <c r="AP1902">
        <v>84</v>
      </c>
      <c r="AQ1902">
        <v>84</v>
      </c>
      <c r="AR1902">
        <v>-192</v>
      </c>
      <c r="AZ1902">
        <v>300</v>
      </c>
      <c r="BA1902">
        <v>1</v>
      </c>
      <c r="BB1902" t="str">
        <f t="shared" ref="BB1902:BB1965" si="95">"N162AM  "</f>
        <v xml:space="preserve">N162AM  </v>
      </c>
      <c r="BC1902">
        <v>1</v>
      </c>
      <c r="BE1902">
        <v>0</v>
      </c>
      <c r="BF1902">
        <v>0</v>
      </c>
      <c r="BG1902">
        <v>0</v>
      </c>
      <c r="BH1902">
        <v>1800</v>
      </c>
      <c r="BI1902">
        <v>1</v>
      </c>
      <c r="BJ1902">
        <v>1</v>
      </c>
      <c r="BK1902">
        <v>1</v>
      </c>
      <c r="BL1902">
        <v>0</v>
      </c>
      <c r="BO1902">
        <v>0</v>
      </c>
      <c r="BP1902">
        <v>0</v>
      </c>
      <c r="BW1902" t="str">
        <f>"14:52:49.023"</f>
        <v>14:52:49.023</v>
      </c>
      <c r="CJ1902">
        <v>3</v>
      </c>
      <c r="CK1902">
        <v>2</v>
      </c>
      <c r="CL1902">
        <v>0</v>
      </c>
      <c r="CM1902">
        <v>2</v>
      </c>
      <c r="CN1902">
        <v>0</v>
      </c>
      <c r="CO1902">
        <v>6</v>
      </c>
      <c r="CP1902" t="s">
        <v>119</v>
      </c>
      <c r="CQ1902">
        <v>232</v>
      </c>
      <c r="CR1902">
        <v>2</v>
      </c>
      <c r="CW1902">
        <v>6963789</v>
      </c>
      <c r="CY1902">
        <v>1</v>
      </c>
      <c r="CZ1902">
        <v>0</v>
      </c>
      <c r="DA1902">
        <v>0</v>
      </c>
      <c r="DB1902">
        <v>0</v>
      </c>
      <c r="DC1902">
        <v>0</v>
      </c>
      <c r="DD1902">
        <v>1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>"12/16/2021 14:52:49.227"</f>
        <v>12/16/2021 14:52:49.227</v>
      </c>
      <c r="C1903" t="str">
        <f t="shared" si="94"/>
        <v>FFDFD3C0</v>
      </c>
      <c r="D1903" t="s">
        <v>113</v>
      </c>
      <c r="E1903">
        <v>8</v>
      </c>
      <c r="H1903">
        <v>176</v>
      </c>
      <c r="I1903" t="s">
        <v>114</v>
      </c>
      <c r="J1903" t="s">
        <v>115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>"14:52:49.016"</f>
        <v>14:52:49.016</v>
      </c>
      <c r="T1903" t="str">
        <f>"14:52:48.616"</f>
        <v>14:52:48.616</v>
      </c>
      <c r="U1903" t="str">
        <f t="shared" si="93"/>
        <v>A0F928</v>
      </c>
      <c r="V1903">
        <v>0</v>
      </c>
      <c r="W1903">
        <v>0</v>
      </c>
      <c r="X1903">
        <v>2</v>
      </c>
      <c r="Z1903">
        <v>0</v>
      </c>
      <c r="AA1903">
        <v>9</v>
      </c>
      <c r="AB1903">
        <v>3</v>
      </c>
      <c r="AC1903">
        <v>0</v>
      </c>
      <c r="AD1903">
        <v>10</v>
      </c>
      <c r="AE1903">
        <v>0</v>
      </c>
      <c r="AF1903">
        <v>3</v>
      </c>
      <c r="AG1903">
        <v>2</v>
      </c>
      <c r="AH1903">
        <v>1</v>
      </c>
      <c r="AI1903" t="s">
        <v>1008</v>
      </c>
      <c r="AJ1903">
        <v>35.850084000000003</v>
      </c>
      <c r="AK1903" t="s">
        <v>1009</v>
      </c>
      <c r="AL1903">
        <v>-83.987967999999995</v>
      </c>
      <c r="AM1903">
        <v>25</v>
      </c>
      <c r="AN1903">
        <v>1550</v>
      </c>
      <c r="AO1903" t="s">
        <v>118</v>
      </c>
      <c r="AP1903">
        <v>84</v>
      </c>
      <c r="AQ1903">
        <v>84</v>
      </c>
      <c r="AR1903">
        <v>-192</v>
      </c>
      <c r="AZ1903">
        <v>300</v>
      </c>
      <c r="BA1903">
        <v>1</v>
      </c>
      <c r="BB1903" t="str">
        <f t="shared" si="95"/>
        <v xml:space="preserve">N162AM  </v>
      </c>
      <c r="BC1903">
        <v>1</v>
      </c>
      <c r="BE1903">
        <v>0</v>
      </c>
      <c r="BF1903">
        <v>0</v>
      </c>
      <c r="BG1903">
        <v>0</v>
      </c>
      <c r="BH1903">
        <v>1800</v>
      </c>
      <c r="BI1903">
        <v>1</v>
      </c>
      <c r="BJ1903">
        <v>1</v>
      </c>
      <c r="BK1903">
        <v>1</v>
      </c>
      <c r="BL1903">
        <v>0</v>
      </c>
      <c r="BO1903">
        <v>0</v>
      </c>
      <c r="BP1903">
        <v>0</v>
      </c>
      <c r="BW1903" t="str">
        <f>"14:52:49.023"</f>
        <v>14:52:49.023</v>
      </c>
      <c r="CJ1903">
        <v>3</v>
      </c>
      <c r="CK1903">
        <v>2</v>
      </c>
      <c r="CL1903">
        <v>0</v>
      </c>
      <c r="CM1903">
        <v>2</v>
      </c>
      <c r="CN1903">
        <v>0</v>
      </c>
      <c r="CO1903">
        <v>6</v>
      </c>
      <c r="CP1903" t="s">
        <v>119</v>
      </c>
      <c r="CQ1903">
        <v>232</v>
      </c>
      <c r="CR1903">
        <v>2</v>
      </c>
      <c r="CW1903">
        <v>6963789</v>
      </c>
      <c r="CY1903">
        <v>1</v>
      </c>
      <c r="CZ1903">
        <v>0</v>
      </c>
      <c r="DA1903">
        <v>1</v>
      </c>
      <c r="DB1903">
        <v>0</v>
      </c>
      <c r="DC1903">
        <v>0</v>
      </c>
      <c r="DD1903">
        <v>1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>"12/16/2021 14:52:49.242"</f>
        <v>12/16/2021 14:52:49.242</v>
      </c>
      <c r="C1904" t="str">
        <f t="shared" si="94"/>
        <v>FFDFD3C0</v>
      </c>
      <c r="D1904" t="s">
        <v>124</v>
      </c>
      <c r="E1904">
        <v>10</v>
      </c>
      <c r="F1904">
        <v>1010</v>
      </c>
      <c r="G1904" t="s">
        <v>130</v>
      </c>
      <c r="J1904" t="s">
        <v>125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>"14:52:49.016"</f>
        <v>14:52:49.016</v>
      </c>
      <c r="T1904" t="str">
        <f>"14:52:48.616"</f>
        <v>14:52:48.616</v>
      </c>
      <c r="U1904" t="str">
        <f t="shared" si="93"/>
        <v>A0F928</v>
      </c>
      <c r="V1904">
        <v>0</v>
      </c>
      <c r="W1904">
        <v>0</v>
      </c>
      <c r="X1904">
        <v>2</v>
      </c>
      <c r="Z1904">
        <v>0</v>
      </c>
      <c r="AA1904">
        <v>9</v>
      </c>
      <c r="AB1904">
        <v>3</v>
      </c>
      <c r="AC1904">
        <v>0</v>
      </c>
      <c r="AD1904">
        <v>10</v>
      </c>
      <c r="AE1904">
        <v>0</v>
      </c>
      <c r="AF1904">
        <v>3</v>
      </c>
      <c r="AG1904">
        <v>2</v>
      </c>
      <c r="AH1904">
        <v>1</v>
      </c>
      <c r="AI1904" t="s">
        <v>1008</v>
      </c>
      <c r="AJ1904">
        <v>35.850084000000003</v>
      </c>
      <c r="AK1904" t="s">
        <v>1009</v>
      </c>
      <c r="AL1904">
        <v>-83.987967999999995</v>
      </c>
      <c r="AM1904">
        <v>25</v>
      </c>
      <c r="AN1904">
        <v>1550</v>
      </c>
      <c r="AO1904" t="s">
        <v>118</v>
      </c>
      <c r="AP1904">
        <v>84</v>
      </c>
      <c r="AQ1904">
        <v>84</v>
      </c>
      <c r="AR1904">
        <v>-192</v>
      </c>
      <c r="AZ1904">
        <v>300</v>
      </c>
      <c r="BA1904">
        <v>1</v>
      </c>
      <c r="BB1904" t="str">
        <f t="shared" si="95"/>
        <v xml:space="preserve">N162AM  </v>
      </c>
      <c r="BC1904">
        <v>1</v>
      </c>
      <c r="BE1904">
        <v>0</v>
      </c>
      <c r="BF1904">
        <v>0</v>
      </c>
      <c r="BG1904">
        <v>0</v>
      </c>
      <c r="BH1904">
        <v>1800</v>
      </c>
      <c r="BI1904">
        <v>1</v>
      </c>
      <c r="BJ1904">
        <v>1</v>
      </c>
      <c r="BK1904">
        <v>1</v>
      </c>
      <c r="BL1904">
        <v>0</v>
      </c>
      <c r="BO1904">
        <v>0</v>
      </c>
      <c r="BP1904">
        <v>0</v>
      </c>
      <c r="BW1904" t="str">
        <f>"14:52:49.023"</f>
        <v>14:52:49.023</v>
      </c>
      <c r="CJ1904">
        <v>3</v>
      </c>
      <c r="CK1904">
        <v>2</v>
      </c>
      <c r="CL1904">
        <v>0</v>
      </c>
      <c r="CM1904">
        <v>2</v>
      </c>
      <c r="CN1904">
        <v>0</v>
      </c>
      <c r="CO1904">
        <v>6</v>
      </c>
      <c r="CP1904" t="s">
        <v>119</v>
      </c>
      <c r="CQ1904">
        <v>232</v>
      </c>
      <c r="CR1904">
        <v>2</v>
      </c>
      <c r="CW1904">
        <v>6963789</v>
      </c>
      <c r="CY1904">
        <v>1</v>
      </c>
      <c r="CZ1904">
        <v>0</v>
      </c>
      <c r="DA1904">
        <v>1</v>
      </c>
      <c r="DB1904">
        <v>0</v>
      </c>
      <c r="DC1904">
        <v>0</v>
      </c>
      <c r="DD1904">
        <v>1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>"12/16/2021 14:52:49.242"</f>
        <v>12/16/2021 14:52:49.242</v>
      </c>
      <c r="C1905" t="str">
        <f t="shared" si="94"/>
        <v>FFDFD3C0</v>
      </c>
      <c r="D1905" t="s">
        <v>133</v>
      </c>
      <c r="E1905">
        <v>44</v>
      </c>
      <c r="H1905">
        <v>131</v>
      </c>
      <c r="I1905" t="s">
        <v>134</v>
      </c>
      <c r="J1905" t="s">
        <v>135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>"14:52:49.016"</f>
        <v>14:52:49.016</v>
      </c>
      <c r="T1905" t="str">
        <f>"14:52:48.616"</f>
        <v>14:52:48.616</v>
      </c>
      <c r="U1905" t="str">
        <f t="shared" si="93"/>
        <v>A0F928</v>
      </c>
      <c r="V1905">
        <v>0</v>
      </c>
      <c r="W1905">
        <v>0</v>
      </c>
      <c r="X1905">
        <v>2</v>
      </c>
      <c r="Z1905">
        <v>0</v>
      </c>
      <c r="AA1905">
        <v>9</v>
      </c>
      <c r="AB1905">
        <v>3</v>
      </c>
      <c r="AC1905">
        <v>0</v>
      </c>
      <c r="AD1905">
        <v>10</v>
      </c>
      <c r="AE1905">
        <v>0</v>
      </c>
      <c r="AF1905">
        <v>3</v>
      </c>
      <c r="AG1905">
        <v>2</v>
      </c>
      <c r="AH1905">
        <v>1</v>
      </c>
      <c r="AI1905" t="s">
        <v>1008</v>
      </c>
      <c r="AJ1905">
        <v>35.850084000000003</v>
      </c>
      <c r="AK1905" t="s">
        <v>1009</v>
      </c>
      <c r="AL1905">
        <v>-83.987967999999995</v>
      </c>
      <c r="AM1905">
        <v>25</v>
      </c>
      <c r="AN1905">
        <v>1550</v>
      </c>
      <c r="AO1905" t="s">
        <v>118</v>
      </c>
      <c r="AP1905">
        <v>84</v>
      </c>
      <c r="AQ1905">
        <v>84</v>
      </c>
      <c r="AR1905">
        <v>-192</v>
      </c>
      <c r="AZ1905">
        <v>300</v>
      </c>
      <c r="BA1905">
        <v>1</v>
      </c>
      <c r="BB1905" t="str">
        <f t="shared" si="95"/>
        <v xml:space="preserve">N162AM  </v>
      </c>
      <c r="BC1905">
        <v>1</v>
      </c>
      <c r="BE1905">
        <v>0</v>
      </c>
      <c r="BF1905">
        <v>0</v>
      </c>
      <c r="BG1905">
        <v>0</v>
      </c>
      <c r="BH1905">
        <v>1800</v>
      </c>
      <c r="BI1905">
        <v>1</v>
      </c>
      <c r="BJ1905">
        <v>1</v>
      </c>
      <c r="BK1905">
        <v>1</v>
      </c>
      <c r="BL1905">
        <v>0</v>
      </c>
      <c r="BO1905">
        <v>0</v>
      </c>
      <c r="BP1905">
        <v>0</v>
      </c>
      <c r="BW1905" t="str">
        <f>"14:52:49.023"</f>
        <v>14:52:49.023</v>
      </c>
      <c r="CJ1905">
        <v>3</v>
      </c>
      <c r="CK1905">
        <v>2</v>
      </c>
      <c r="CL1905">
        <v>0</v>
      </c>
      <c r="CM1905">
        <v>2</v>
      </c>
      <c r="CN1905">
        <v>0</v>
      </c>
      <c r="CO1905">
        <v>6</v>
      </c>
      <c r="CP1905" t="s">
        <v>119</v>
      </c>
      <c r="CQ1905">
        <v>232</v>
      </c>
      <c r="CR1905">
        <v>2</v>
      </c>
      <c r="CW1905">
        <v>6963789</v>
      </c>
      <c r="CY1905">
        <v>1</v>
      </c>
      <c r="CZ1905">
        <v>0</v>
      </c>
      <c r="DA1905">
        <v>1</v>
      </c>
      <c r="DB1905">
        <v>0</v>
      </c>
      <c r="DC1905">
        <v>0</v>
      </c>
      <c r="DD1905">
        <v>1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>"12/16/2021 14:52:50.277"</f>
        <v>12/16/2021 14:52:50.277</v>
      </c>
      <c r="C1906" t="str">
        <f t="shared" si="94"/>
        <v>FFDFD3C0</v>
      </c>
      <c r="D1906" t="s">
        <v>124</v>
      </c>
      <c r="E1906">
        <v>5</v>
      </c>
      <c r="F1906">
        <v>1005</v>
      </c>
      <c r="G1906" t="s">
        <v>114</v>
      </c>
      <c r="J1906" t="s">
        <v>125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>"14:52:50.086"</f>
        <v>14:52:50.086</v>
      </c>
      <c r="T1906" t="str">
        <f>"14:52:49.586"</f>
        <v>14:52:49.586</v>
      </c>
      <c r="U1906" t="str">
        <f t="shared" si="93"/>
        <v>A0F928</v>
      </c>
      <c r="V1906">
        <v>0</v>
      </c>
      <c r="W1906">
        <v>0</v>
      </c>
      <c r="X1906">
        <v>2</v>
      </c>
      <c r="Z1906">
        <v>0</v>
      </c>
      <c r="AA1906">
        <v>9</v>
      </c>
      <c r="AB1906">
        <v>3</v>
      </c>
      <c r="AC1906">
        <v>0</v>
      </c>
      <c r="AD1906">
        <v>10</v>
      </c>
      <c r="AE1906">
        <v>0</v>
      </c>
      <c r="AF1906">
        <v>3</v>
      </c>
      <c r="AG1906">
        <v>2</v>
      </c>
      <c r="AH1906">
        <v>1</v>
      </c>
      <c r="AI1906" t="s">
        <v>1010</v>
      </c>
      <c r="AJ1906">
        <v>35.850534000000003</v>
      </c>
      <c r="AK1906" t="s">
        <v>1011</v>
      </c>
      <c r="AL1906">
        <v>-83.987431999999998</v>
      </c>
      <c r="AM1906">
        <v>25</v>
      </c>
      <c r="AN1906">
        <v>1525</v>
      </c>
      <c r="AO1906" t="s">
        <v>118</v>
      </c>
      <c r="AP1906">
        <v>84</v>
      </c>
      <c r="AQ1906">
        <v>83</v>
      </c>
      <c r="AR1906">
        <v>-256</v>
      </c>
      <c r="AZ1906">
        <v>300</v>
      </c>
      <c r="BA1906">
        <v>1</v>
      </c>
      <c r="BB1906" t="str">
        <f t="shared" si="95"/>
        <v xml:space="preserve">N162AM  </v>
      </c>
      <c r="BC1906">
        <v>1</v>
      </c>
      <c r="BE1906">
        <v>0</v>
      </c>
      <c r="BF1906">
        <v>0</v>
      </c>
      <c r="BG1906">
        <v>0</v>
      </c>
      <c r="BH1906">
        <v>1800</v>
      </c>
      <c r="BI1906">
        <v>1</v>
      </c>
      <c r="BJ1906">
        <v>1</v>
      </c>
      <c r="BK1906">
        <v>1</v>
      </c>
      <c r="BL1906">
        <v>0</v>
      </c>
      <c r="BO1906">
        <v>0</v>
      </c>
      <c r="BP1906">
        <v>0</v>
      </c>
      <c r="BW1906" t="str">
        <f>"14:52:50.088"</f>
        <v>14:52:50.088</v>
      </c>
      <c r="CJ1906">
        <v>3</v>
      </c>
      <c r="CK1906">
        <v>2</v>
      </c>
      <c r="CL1906">
        <v>0</v>
      </c>
      <c r="CM1906">
        <v>2</v>
      </c>
      <c r="CN1906">
        <v>0</v>
      </c>
      <c r="CO1906">
        <v>6</v>
      </c>
      <c r="CP1906" t="s">
        <v>119</v>
      </c>
      <c r="CQ1906">
        <v>232</v>
      </c>
      <c r="CR1906">
        <v>1</v>
      </c>
      <c r="CW1906">
        <v>15751578</v>
      </c>
      <c r="CY1906">
        <v>1</v>
      </c>
      <c r="CZ1906">
        <v>0</v>
      </c>
      <c r="DA1906">
        <v>0</v>
      </c>
      <c r="DB1906">
        <v>0</v>
      </c>
      <c r="DC1906">
        <v>0</v>
      </c>
      <c r="DD1906">
        <v>1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>"12/16/2021 14:52:50.292"</f>
        <v>12/16/2021 14:52:50.292</v>
      </c>
      <c r="C1907" t="str">
        <f t="shared" si="94"/>
        <v>FFDFD3C0</v>
      </c>
      <c r="D1907" t="s">
        <v>113</v>
      </c>
      <c r="E1907">
        <v>8</v>
      </c>
      <c r="H1907">
        <v>176</v>
      </c>
      <c r="I1907" t="s">
        <v>114</v>
      </c>
      <c r="J1907" t="s">
        <v>115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>"14:52:50.086"</f>
        <v>14:52:50.086</v>
      </c>
      <c r="T1907" t="str">
        <f>"14:52:49.586"</f>
        <v>14:52:49.586</v>
      </c>
      <c r="U1907" t="str">
        <f t="shared" si="93"/>
        <v>A0F928</v>
      </c>
      <c r="V1907">
        <v>0</v>
      </c>
      <c r="W1907">
        <v>0</v>
      </c>
      <c r="X1907">
        <v>2</v>
      </c>
      <c r="Z1907">
        <v>0</v>
      </c>
      <c r="AA1907">
        <v>9</v>
      </c>
      <c r="AB1907">
        <v>3</v>
      </c>
      <c r="AC1907">
        <v>0</v>
      </c>
      <c r="AD1907">
        <v>10</v>
      </c>
      <c r="AE1907">
        <v>0</v>
      </c>
      <c r="AF1907">
        <v>3</v>
      </c>
      <c r="AG1907">
        <v>2</v>
      </c>
      <c r="AH1907">
        <v>1</v>
      </c>
      <c r="AI1907" t="s">
        <v>1010</v>
      </c>
      <c r="AJ1907">
        <v>35.850534000000003</v>
      </c>
      <c r="AK1907" t="s">
        <v>1011</v>
      </c>
      <c r="AL1907">
        <v>-83.987431999999998</v>
      </c>
      <c r="AM1907">
        <v>25</v>
      </c>
      <c r="AN1907">
        <v>1525</v>
      </c>
      <c r="AO1907" t="s">
        <v>118</v>
      </c>
      <c r="AP1907">
        <v>84</v>
      </c>
      <c r="AQ1907">
        <v>83</v>
      </c>
      <c r="AR1907">
        <v>-256</v>
      </c>
      <c r="AZ1907">
        <v>300</v>
      </c>
      <c r="BA1907">
        <v>1</v>
      </c>
      <c r="BB1907" t="str">
        <f t="shared" si="95"/>
        <v xml:space="preserve">N162AM  </v>
      </c>
      <c r="BC1907">
        <v>1</v>
      </c>
      <c r="BE1907">
        <v>0</v>
      </c>
      <c r="BF1907">
        <v>0</v>
      </c>
      <c r="BG1907">
        <v>0</v>
      </c>
      <c r="BH1907">
        <v>1800</v>
      </c>
      <c r="BI1907">
        <v>1</v>
      </c>
      <c r="BJ1907">
        <v>1</v>
      </c>
      <c r="BK1907">
        <v>1</v>
      </c>
      <c r="BL1907">
        <v>0</v>
      </c>
      <c r="BO1907">
        <v>0</v>
      </c>
      <c r="BP1907">
        <v>0</v>
      </c>
      <c r="BW1907" t="str">
        <f>"14:52:50.088"</f>
        <v>14:52:50.088</v>
      </c>
      <c r="CJ1907">
        <v>3</v>
      </c>
      <c r="CK1907">
        <v>2</v>
      </c>
      <c r="CL1907">
        <v>0</v>
      </c>
      <c r="CM1907">
        <v>2</v>
      </c>
      <c r="CN1907">
        <v>0</v>
      </c>
      <c r="CO1907">
        <v>6</v>
      </c>
      <c r="CP1907" t="s">
        <v>119</v>
      </c>
      <c r="CQ1907">
        <v>232</v>
      </c>
      <c r="CR1907">
        <v>1</v>
      </c>
      <c r="CW1907">
        <v>15751578</v>
      </c>
      <c r="CY1907">
        <v>1</v>
      </c>
      <c r="CZ1907">
        <v>0</v>
      </c>
      <c r="DA1907">
        <v>1</v>
      </c>
      <c r="DB1907">
        <v>0</v>
      </c>
      <c r="DC1907">
        <v>0</v>
      </c>
      <c r="DD1907">
        <v>1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>"12/16/2021 14:52:50.292"</f>
        <v>12/16/2021 14:52:50.292</v>
      </c>
      <c r="C1908" t="str">
        <f t="shared" si="94"/>
        <v>FFDFD3C0</v>
      </c>
      <c r="D1908" t="s">
        <v>124</v>
      </c>
      <c r="E1908">
        <v>10</v>
      </c>
      <c r="F1908">
        <v>1010</v>
      </c>
      <c r="G1908" t="s">
        <v>130</v>
      </c>
      <c r="J1908" t="s">
        <v>125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>"14:52:50.086"</f>
        <v>14:52:50.086</v>
      </c>
      <c r="T1908" t="str">
        <f>"14:52:49.586"</f>
        <v>14:52:49.586</v>
      </c>
      <c r="U1908" t="str">
        <f t="shared" si="93"/>
        <v>A0F928</v>
      </c>
      <c r="V1908">
        <v>0</v>
      </c>
      <c r="W1908">
        <v>0</v>
      </c>
      <c r="X1908">
        <v>2</v>
      </c>
      <c r="Z1908">
        <v>0</v>
      </c>
      <c r="AA1908">
        <v>9</v>
      </c>
      <c r="AB1908">
        <v>3</v>
      </c>
      <c r="AC1908">
        <v>0</v>
      </c>
      <c r="AD1908">
        <v>10</v>
      </c>
      <c r="AE1908">
        <v>0</v>
      </c>
      <c r="AF1908">
        <v>3</v>
      </c>
      <c r="AG1908">
        <v>2</v>
      </c>
      <c r="AH1908">
        <v>1</v>
      </c>
      <c r="AI1908" t="s">
        <v>1010</v>
      </c>
      <c r="AJ1908">
        <v>35.850534000000003</v>
      </c>
      <c r="AK1908" t="s">
        <v>1011</v>
      </c>
      <c r="AL1908">
        <v>-83.987431999999998</v>
      </c>
      <c r="AM1908">
        <v>25</v>
      </c>
      <c r="AN1908">
        <v>1525</v>
      </c>
      <c r="AO1908" t="s">
        <v>118</v>
      </c>
      <c r="AP1908">
        <v>84</v>
      </c>
      <c r="AQ1908">
        <v>83</v>
      </c>
      <c r="AR1908">
        <v>-256</v>
      </c>
      <c r="AZ1908">
        <v>300</v>
      </c>
      <c r="BA1908">
        <v>1</v>
      </c>
      <c r="BB1908" t="str">
        <f t="shared" si="95"/>
        <v xml:space="preserve">N162AM  </v>
      </c>
      <c r="BC1908">
        <v>1</v>
      </c>
      <c r="BE1908">
        <v>0</v>
      </c>
      <c r="BF1908">
        <v>0</v>
      </c>
      <c r="BG1908">
        <v>0</v>
      </c>
      <c r="BH1908">
        <v>1800</v>
      </c>
      <c r="BI1908">
        <v>1</v>
      </c>
      <c r="BJ1908">
        <v>1</v>
      </c>
      <c r="BK1908">
        <v>1</v>
      </c>
      <c r="BL1908">
        <v>0</v>
      </c>
      <c r="BO1908">
        <v>0</v>
      </c>
      <c r="BP1908">
        <v>0</v>
      </c>
      <c r="BW1908" t="str">
        <f>"14:52:50.088"</f>
        <v>14:52:50.088</v>
      </c>
      <c r="CJ1908">
        <v>3</v>
      </c>
      <c r="CK1908">
        <v>2</v>
      </c>
      <c r="CL1908">
        <v>0</v>
      </c>
      <c r="CM1908">
        <v>2</v>
      </c>
      <c r="CN1908">
        <v>0</v>
      </c>
      <c r="CO1908">
        <v>6</v>
      </c>
      <c r="CP1908" t="s">
        <v>119</v>
      </c>
      <c r="CQ1908">
        <v>232</v>
      </c>
      <c r="CR1908">
        <v>1</v>
      </c>
      <c r="CW1908">
        <v>15751578</v>
      </c>
      <c r="CY1908">
        <v>1</v>
      </c>
      <c r="CZ1908">
        <v>0</v>
      </c>
      <c r="DA1908">
        <v>1</v>
      </c>
      <c r="DB1908">
        <v>0</v>
      </c>
      <c r="DC1908">
        <v>0</v>
      </c>
      <c r="DD1908">
        <v>1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>"12/16/2021 14:52:50.355"</f>
        <v>12/16/2021 14:52:50.355</v>
      </c>
      <c r="C1909" t="str">
        <f t="shared" si="94"/>
        <v>FFDFD3C0</v>
      </c>
      <c r="D1909" t="s">
        <v>133</v>
      </c>
      <c r="E1909">
        <v>44</v>
      </c>
      <c r="H1909">
        <v>131</v>
      </c>
      <c r="I1909" t="s">
        <v>134</v>
      </c>
      <c r="J1909" t="s">
        <v>135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>"14:52:50.086"</f>
        <v>14:52:50.086</v>
      </c>
      <c r="T1909" t="str">
        <f>"14:52:49.586"</f>
        <v>14:52:49.586</v>
      </c>
      <c r="U1909" t="str">
        <f t="shared" si="93"/>
        <v>A0F928</v>
      </c>
      <c r="V1909">
        <v>0</v>
      </c>
      <c r="W1909">
        <v>0</v>
      </c>
      <c r="X1909">
        <v>2</v>
      </c>
      <c r="Z1909">
        <v>0</v>
      </c>
      <c r="AA1909">
        <v>9</v>
      </c>
      <c r="AB1909">
        <v>3</v>
      </c>
      <c r="AC1909">
        <v>0</v>
      </c>
      <c r="AD1909">
        <v>10</v>
      </c>
      <c r="AE1909">
        <v>0</v>
      </c>
      <c r="AF1909">
        <v>3</v>
      </c>
      <c r="AG1909">
        <v>2</v>
      </c>
      <c r="AH1909">
        <v>1</v>
      </c>
      <c r="AI1909" t="s">
        <v>1010</v>
      </c>
      <c r="AJ1909">
        <v>35.850534000000003</v>
      </c>
      <c r="AK1909" t="s">
        <v>1011</v>
      </c>
      <c r="AL1909">
        <v>-83.987431999999998</v>
      </c>
      <c r="AM1909">
        <v>25</v>
      </c>
      <c r="AN1909">
        <v>1525</v>
      </c>
      <c r="AO1909" t="s">
        <v>118</v>
      </c>
      <c r="AP1909">
        <v>84</v>
      </c>
      <c r="AQ1909">
        <v>83</v>
      </c>
      <c r="AR1909">
        <v>-256</v>
      </c>
      <c r="AZ1909">
        <v>300</v>
      </c>
      <c r="BA1909">
        <v>1</v>
      </c>
      <c r="BB1909" t="str">
        <f t="shared" si="95"/>
        <v xml:space="preserve">N162AM  </v>
      </c>
      <c r="BC1909">
        <v>1</v>
      </c>
      <c r="BE1909">
        <v>0</v>
      </c>
      <c r="BF1909">
        <v>0</v>
      </c>
      <c r="BG1909">
        <v>0</v>
      </c>
      <c r="BH1909">
        <v>1800</v>
      </c>
      <c r="BI1909">
        <v>1</v>
      </c>
      <c r="BJ1909">
        <v>1</v>
      </c>
      <c r="BK1909">
        <v>1</v>
      </c>
      <c r="BL1909">
        <v>0</v>
      </c>
      <c r="BO1909">
        <v>0</v>
      </c>
      <c r="BP1909">
        <v>0</v>
      </c>
      <c r="BW1909" t="str">
        <f>"14:52:50.088"</f>
        <v>14:52:50.088</v>
      </c>
      <c r="CJ1909">
        <v>3</v>
      </c>
      <c r="CK1909">
        <v>2</v>
      </c>
      <c r="CL1909">
        <v>0</v>
      </c>
      <c r="CM1909">
        <v>2</v>
      </c>
      <c r="CN1909">
        <v>0</v>
      </c>
      <c r="CO1909">
        <v>6</v>
      </c>
      <c r="CP1909" t="s">
        <v>119</v>
      </c>
      <c r="CQ1909">
        <v>232</v>
      </c>
      <c r="CR1909">
        <v>1</v>
      </c>
      <c r="CW1909">
        <v>15751578</v>
      </c>
      <c r="CY1909">
        <v>1</v>
      </c>
      <c r="CZ1909">
        <v>0</v>
      </c>
      <c r="DA1909">
        <v>1</v>
      </c>
      <c r="DB1909">
        <v>0</v>
      </c>
      <c r="DC1909">
        <v>0</v>
      </c>
      <c r="DD1909">
        <v>1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>"12/16/2021 14:52:51.292"</f>
        <v>12/16/2021 14:52:51.292</v>
      </c>
      <c r="C1910" t="str">
        <f t="shared" si="94"/>
        <v>FFDFD3C0</v>
      </c>
      <c r="D1910" t="s">
        <v>133</v>
      </c>
      <c r="E1910">
        <v>44</v>
      </c>
      <c r="H1910">
        <v>131</v>
      </c>
      <c r="I1910" t="s">
        <v>134</v>
      </c>
      <c r="J1910" t="s">
        <v>135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>"14:52:51.070"</f>
        <v>14:52:51.070</v>
      </c>
      <c r="T1910" t="str">
        <f>"14:52:50.670"</f>
        <v>14:52:50.670</v>
      </c>
      <c r="U1910" t="str">
        <f t="shared" si="93"/>
        <v>A0F928</v>
      </c>
      <c r="V1910">
        <v>0</v>
      </c>
      <c r="W1910">
        <v>0</v>
      </c>
      <c r="X1910">
        <v>2</v>
      </c>
      <c r="Z1910">
        <v>0</v>
      </c>
      <c r="AA1910">
        <v>9</v>
      </c>
      <c r="AB1910">
        <v>3</v>
      </c>
      <c r="AC1910">
        <v>0</v>
      </c>
      <c r="AD1910">
        <v>10</v>
      </c>
      <c r="AE1910">
        <v>0</v>
      </c>
      <c r="AF1910">
        <v>3</v>
      </c>
      <c r="AG1910">
        <v>2</v>
      </c>
      <c r="AH1910">
        <v>1</v>
      </c>
      <c r="AI1910" t="s">
        <v>1012</v>
      </c>
      <c r="AJ1910">
        <v>35.850898999999998</v>
      </c>
      <c r="AK1910" t="s">
        <v>1013</v>
      </c>
      <c r="AL1910">
        <v>-83.986981</v>
      </c>
      <c r="AM1910">
        <v>25</v>
      </c>
      <c r="AN1910">
        <v>1525</v>
      </c>
      <c r="AO1910" t="s">
        <v>118</v>
      </c>
      <c r="AP1910">
        <v>84</v>
      </c>
      <c r="AQ1910">
        <v>83</v>
      </c>
      <c r="AR1910">
        <v>-448</v>
      </c>
      <c r="AZ1910">
        <v>300</v>
      </c>
      <c r="BA1910">
        <v>1</v>
      </c>
      <c r="BB1910" t="str">
        <f t="shared" si="95"/>
        <v xml:space="preserve">N162AM  </v>
      </c>
      <c r="BC1910">
        <v>1</v>
      </c>
      <c r="BE1910">
        <v>0</v>
      </c>
      <c r="BF1910">
        <v>0</v>
      </c>
      <c r="BG1910">
        <v>0</v>
      </c>
      <c r="BH1910">
        <v>1775</v>
      </c>
      <c r="BI1910">
        <v>1</v>
      </c>
      <c r="BJ1910">
        <v>1</v>
      </c>
      <c r="BK1910">
        <v>1</v>
      </c>
      <c r="BL1910">
        <v>0</v>
      </c>
      <c r="BO1910">
        <v>0</v>
      </c>
      <c r="BP1910">
        <v>0</v>
      </c>
      <c r="BW1910" t="str">
        <f>"14:52:51.074"</f>
        <v>14:52:51.074</v>
      </c>
      <c r="CJ1910">
        <v>3</v>
      </c>
      <c r="CK1910">
        <v>2</v>
      </c>
      <c r="CL1910">
        <v>0</v>
      </c>
      <c r="CM1910">
        <v>2</v>
      </c>
      <c r="CN1910">
        <v>0</v>
      </c>
      <c r="CO1910">
        <v>5</v>
      </c>
      <c r="CP1910" t="s">
        <v>119</v>
      </c>
      <c r="CQ1910">
        <v>232</v>
      </c>
      <c r="CR1910">
        <v>2</v>
      </c>
      <c r="CW1910">
        <v>6967049</v>
      </c>
      <c r="CY1910">
        <v>1</v>
      </c>
      <c r="CZ1910">
        <v>0</v>
      </c>
      <c r="DA1910">
        <v>0</v>
      </c>
      <c r="DB1910">
        <v>0</v>
      </c>
      <c r="DC1910">
        <v>0</v>
      </c>
      <c r="DD1910">
        <v>1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>"12/16/2021 14:52:51.292"</f>
        <v>12/16/2021 14:52:51.292</v>
      </c>
      <c r="C1911" t="str">
        <f t="shared" si="94"/>
        <v>FFDFD3C0</v>
      </c>
      <c r="D1911" t="s">
        <v>124</v>
      </c>
      <c r="E1911">
        <v>5</v>
      </c>
      <c r="F1911">
        <v>1005</v>
      </c>
      <c r="G1911" t="s">
        <v>114</v>
      </c>
      <c r="J1911" t="s">
        <v>125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>"14:52:51.070"</f>
        <v>14:52:51.070</v>
      </c>
      <c r="T1911" t="str">
        <f>"14:52:50.670"</f>
        <v>14:52:50.670</v>
      </c>
      <c r="U1911" t="str">
        <f t="shared" si="93"/>
        <v>A0F928</v>
      </c>
      <c r="V1911">
        <v>0</v>
      </c>
      <c r="W1911">
        <v>0</v>
      </c>
      <c r="X1911">
        <v>2</v>
      </c>
      <c r="Z1911">
        <v>0</v>
      </c>
      <c r="AA1911">
        <v>9</v>
      </c>
      <c r="AB1911">
        <v>3</v>
      </c>
      <c r="AC1911">
        <v>0</v>
      </c>
      <c r="AD1911">
        <v>10</v>
      </c>
      <c r="AE1911">
        <v>0</v>
      </c>
      <c r="AF1911">
        <v>3</v>
      </c>
      <c r="AG1911">
        <v>2</v>
      </c>
      <c r="AH1911">
        <v>1</v>
      </c>
      <c r="AI1911" t="s">
        <v>1012</v>
      </c>
      <c r="AJ1911">
        <v>35.850898999999998</v>
      </c>
      <c r="AK1911" t="s">
        <v>1013</v>
      </c>
      <c r="AL1911">
        <v>-83.986981</v>
      </c>
      <c r="AM1911">
        <v>25</v>
      </c>
      <c r="AN1911">
        <v>1525</v>
      </c>
      <c r="AO1911" t="s">
        <v>118</v>
      </c>
      <c r="AP1911">
        <v>84</v>
      </c>
      <c r="AQ1911">
        <v>83</v>
      </c>
      <c r="AR1911">
        <v>-448</v>
      </c>
      <c r="AZ1911">
        <v>300</v>
      </c>
      <c r="BA1911">
        <v>1</v>
      </c>
      <c r="BB1911" t="str">
        <f t="shared" si="95"/>
        <v xml:space="preserve">N162AM  </v>
      </c>
      <c r="BC1911">
        <v>1</v>
      </c>
      <c r="BE1911">
        <v>0</v>
      </c>
      <c r="BF1911">
        <v>0</v>
      </c>
      <c r="BG1911">
        <v>0</v>
      </c>
      <c r="BH1911">
        <v>1775</v>
      </c>
      <c r="BI1911">
        <v>1</v>
      </c>
      <c r="BJ1911">
        <v>1</v>
      </c>
      <c r="BK1911">
        <v>1</v>
      </c>
      <c r="BL1911">
        <v>0</v>
      </c>
      <c r="BO1911">
        <v>0</v>
      </c>
      <c r="BP1911">
        <v>0</v>
      </c>
      <c r="BW1911" t="str">
        <f>"14:52:51.074"</f>
        <v>14:52:51.074</v>
      </c>
      <c r="CJ1911">
        <v>3</v>
      </c>
      <c r="CK1911">
        <v>2</v>
      </c>
      <c r="CL1911">
        <v>0</v>
      </c>
      <c r="CM1911">
        <v>2</v>
      </c>
      <c r="CN1911">
        <v>0</v>
      </c>
      <c r="CO1911">
        <v>5</v>
      </c>
      <c r="CP1911" t="s">
        <v>119</v>
      </c>
      <c r="CQ1911">
        <v>232</v>
      </c>
      <c r="CR1911">
        <v>2</v>
      </c>
      <c r="CW1911">
        <v>6967049</v>
      </c>
      <c r="CY1911">
        <v>1</v>
      </c>
      <c r="CZ1911">
        <v>0</v>
      </c>
      <c r="DA1911">
        <v>1</v>
      </c>
      <c r="DB1911">
        <v>0</v>
      </c>
      <c r="DC1911">
        <v>0</v>
      </c>
      <c r="DD1911">
        <v>1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>"12/16/2021 14:52:51.292"</f>
        <v>12/16/2021 14:52:51.292</v>
      </c>
      <c r="C1912" t="str">
        <f t="shared" si="94"/>
        <v>FFDFD3C0</v>
      </c>
      <c r="D1912" t="s">
        <v>113</v>
      </c>
      <c r="E1912">
        <v>8</v>
      </c>
      <c r="H1912">
        <v>176</v>
      </c>
      <c r="I1912" t="s">
        <v>114</v>
      </c>
      <c r="J1912" t="s">
        <v>115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>"14:52:51.070"</f>
        <v>14:52:51.070</v>
      </c>
      <c r="T1912" t="str">
        <f>"14:52:50.670"</f>
        <v>14:52:50.670</v>
      </c>
      <c r="U1912" t="str">
        <f t="shared" si="93"/>
        <v>A0F928</v>
      </c>
      <c r="V1912">
        <v>0</v>
      </c>
      <c r="W1912">
        <v>0</v>
      </c>
      <c r="X1912">
        <v>2</v>
      </c>
      <c r="Z1912">
        <v>0</v>
      </c>
      <c r="AA1912">
        <v>9</v>
      </c>
      <c r="AB1912">
        <v>3</v>
      </c>
      <c r="AC1912">
        <v>0</v>
      </c>
      <c r="AD1912">
        <v>10</v>
      </c>
      <c r="AE1912">
        <v>0</v>
      </c>
      <c r="AF1912">
        <v>3</v>
      </c>
      <c r="AG1912">
        <v>2</v>
      </c>
      <c r="AH1912">
        <v>1</v>
      </c>
      <c r="AI1912" t="s">
        <v>1012</v>
      </c>
      <c r="AJ1912">
        <v>35.850898999999998</v>
      </c>
      <c r="AK1912" t="s">
        <v>1013</v>
      </c>
      <c r="AL1912">
        <v>-83.986981</v>
      </c>
      <c r="AM1912">
        <v>25</v>
      </c>
      <c r="AN1912">
        <v>1525</v>
      </c>
      <c r="AO1912" t="s">
        <v>118</v>
      </c>
      <c r="AP1912">
        <v>84</v>
      </c>
      <c r="AQ1912">
        <v>83</v>
      </c>
      <c r="AR1912">
        <v>-448</v>
      </c>
      <c r="AZ1912">
        <v>300</v>
      </c>
      <c r="BA1912">
        <v>1</v>
      </c>
      <c r="BB1912" t="str">
        <f t="shared" si="95"/>
        <v xml:space="preserve">N162AM  </v>
      </c>
      <c r="BC1912">
        <v>1</v>
      </c>
      <c r="BE1912">
        <v>0</v>
      </c>
      <c r="BF1912">
        <v>0</v>
      </c>
      <c r="BG1912">
        <v>0</v>
      </c>
      <c r="BH1912">
        <v>1775</v>
      </c>
      <c r="BI1912">
        <v>1</v>
      </c>
      <c r="BJ1912">
        <v>1</v>
      </c>
      <c r="BK1912">
        <v>1</v>
      </c>
      <c r="BL1912">
        <v>0</v>
      </c>
      <c r="BO1912">
        <v>0</v>
      </c>
      <c r="BP1912">
        <v>0</v>
      </c>
      <c r="BW1912" t="str">
        <f>"14:52:51.074"</f>
        <v>14:52:51.074</v>
      </c>
      <c r="CJ1912">
        <v>3</v>
      </c>
      <c r="CK1912">
        <v>2</v>
      </c>
      <c r="CL1912">
        <v>0</v>
      </c>
      <c r="CM1912">
        <v>2</v>
      </c>
      <c r="CN1912">
        <v>0</v>
      </c>
      <c r="CO1912">
        <v>5</v>
      </c>
      <c r="CP1912" t="s">
        <v>119</v>
      </c>
      <c r="CQ1912">
        <v>232</v>
      </c>
      <c r="CR1912">
        <v>2</v>
      </c>
      <c r="CW1912">
        <v>6967049</v>
      </c>
      <c r="CY1912">
        <v>1</v>
      </c>
      <c r="CZ1912">
        <v>0</v>
      </c>
      <c r="DA1912">
        <v>1</v>
      </c>
      <c r="DB1912">
        <v>0</v>
      </c>
      <c r="DC1912">
        <v>0</v>
      </c>
      <c r="DD1912">
        <v>1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>"12/16/2021 14:52:51.308"</f>
        <v>12/16/2021 14:52:51.308</v>
      </c>
      <c r="C1913" t="str">
        <f t="shared" si="94"/>
        <v>FFDFD3C0</v>
      </c>
      <c r="D1913" t="s">
        <v>124</v>
      </c>
      <c r="E1913">
        <v>10</v>
      </c>
      <c r="F1913">
        <v>1010</v>
      </c>
      <c r="G1913" t="s">
        <v>130</v>
      </c>
      <c r="J1913" t="s">
        <v>125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>"14:52:51.070"</f>
        <v>14:52:51.070</v>
      </c>
      <c r="T1913" t="str">
        <f>"14:52:50.670"</f>
        <v>14:52:50.670</v>
      </c>
      <c r="U1913" t="str">
        <f t="shared" si="93"/>
        <v>A0F928</v>
      </c>
      <c r="V1913">
        <v>0</v>
      </c>
      <c r="W1913">
        <v>0</v>
      </c>
      <c r="X1913">
        <v>2</v>
      </c>
      <c r="Z1913">
        <v>0</v>
      </c>
      <c r="AA1913">
        <v>9</v>
      </c>
      <c r="AB1913">
        <v>3</v>
      </c>
      <c r="AC1913">
        <v>0</v>
      </c>
      <c r="AD1913">
        <v>10</v>
      </c>
      <c r="AE1913">
        <v>0</v>
      </c>
      <c r="AF1913">
        <v>3</v>
      </c>
      <c r="AG1913">
        <v>2</v>
      </c>
      <c r="AH1913">
        <v>1</v>
      </c>
      <c r="AI1913" t="s">
        <v>1012</v>
      </c>
      <c r="AJ1913">
        <v>35.850898999999998</v>
      </c>
      <c r="AK1913" t="s">
        <v>1013</v>
      </c>
      <c r="AL1913">
        <v>-83.986981</v>
      </c>
      <c r="AM1913">
        <v>25</v>
      </c>
      <c r="AN1913">
        <v>1525</v>
      </c>
      <c r="AO1913" t="s">
        <v>118</v>
      </c>
      <c r="AP1913">
        <v>84</v>
      </c>
      <c r="AQ1913">
        <v>83</v>
      </c>
      <c r="AR1913">
        <v>-448</v>
      </c>
      <c r="AZ1913">
        <v>300</v>
      </c>
      <c r="BA1913">
        <v>1</v>
      </c>
      <c r="BB1913" t="str">
        <f t="shared" si="95"/>
        <v xml:space="preserve">N162AM  </v>
      </c>
      <c r="BC1913">
        <v>1</v>
      </c>
      <c r="BE1913">
        <v>0</v>
      </c>
      <c r="BF1913">
        <v>0</v>
      </c>
      <c r="BG1913">
        <v>0</v>
      </c>
      <c r="BH1913">
        <v>1775</v>
      </c>
      <c r="BI1913">
        <v>1</v>
      </c>
      <c r="BJ1913">
        <v>1</v>
      </c>
      <c r="BK1913">
        <v>1</v>
      </c>
      <c r="BL1913">
        <v>0</v>
      </c>
      <c r="BO1913">
        <v>0</v>
      </c>
      <c r="BP1913">
        <v>0</v>
      </c>
      <c r="BW1913" t="str">
        <f>"14:52:51.074"</f>
        <v>14:52:51.074</v>
      </c>
      <c r="CJ1913">
        <v>3</v>
      </c>
      <c r="CK1913">
        <v>2</v>
      </c>
      <c r="CL1913">
        <v>0</v>
      </c>
      <c r="CM1913">
        <v>2</v>
      </c>
      <c r="CN1913">
        <v>0</v>
      </c>
      <c r="CO1913">
        <v>5</v>
      </c>
      <c r="CP1913" t="s">
        <v>119</v>
      </c>
      <c r="CQ1913">
        <v>232</v>
      </c>
      <c r="CR1913">
        <v>2</v>
      </c>
      <c r="CW1913">
        <v>6967049</v>
      </c>
      <c r="CY1913">
        <v>1</v>
      </c>
      <c r="CZ1913">
        <v>0</v>
      </c>
      <c r="DA1913">
        <v>1</v>
      </c>
      <c r="DB1913">
        <v>0</v>
      </c>
      <c r="DC1913">
        <v>0</v>
      </c>
      <c r="DD1913">
        <v>1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>"12/16/2021 14:52:52.261"</f>
        <v>12/16/2021 14:52:52.261</v>
      </c>
      <c r="C1914" t="str">
        <f t="shared" si="94"/>
        <v>FFDFD3C0</v>
      </c>
      <c r="D1914" t="s">
        <v>113</v>
      </c>
      <c r="E1914">
        <v>8</v>
      </c>
      <c r="H1914">
        <v>176</v>
      </c>
      <c r="I1914" t="s">
        <v>114</v>
      </c>
      <c r="J1914" t="s">
        <v>115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>"14:52:52.047"</f>
        <v>14:52:52.047</v>
      </c>
      <c r="T1914" t="str">
        <f>"14:52:51.647"</f>
        <v>14:52:51.647</v>
      </c>
      <c r="U1914" t="str">
        <f t="shared" si="93"/>
        <v>A0F928</v>
      </c>
      <c r="V1914">
        <v>0</v>
      </c>
      <c r="W1914">
        <v>0</v>
      </c>
      <c r="X1914">
        <v>2</v>
      </c>
      <c r="Z1914">
        <v>0</v>
      </c>
      <c r="AA1914">
        <v>9</v>
      </c>
      <c r="AB1914">
        <v>3</v>
      </c>
      <c r="AC1914">
        <v>0</v>
      </c>
      <c r="AD1914">
        <v>10</v>
      </c>
      <c r="AE1914">
        <v>0</v>
      </c>
      <c r="AF1914">
        <v>3</v>
      </c>
      <c r="AG1914">
        <v>2</v>
      </c>
      <c r="AH1914">
        <v>1</v>
      </c>
      <c r="AI1914" t="s">
        <v>1014</v>
      </c>
      <c r="AJ1914">
        <v>35.851264</v>
      </c>
      <c r="AK1914" t="s">
        <v>1015</v>
      </c>
      <c r="AL1914">
        <v>-83.986530000000002</v>
      </c>
      <c r="AM1914">
        <v>25</v>
      </c>
      <c r="AN1914">
        <v>1525</v>
      </c>
      <c r="AO1914" t="s">
        <v>118</v>
      </c>
      <c r="AP1914">
        <v>84</v>
      </c>
      <c r="AQ1914">
        <v>83</v>
      </c>
      <c r="AR1914">
        <v>-512</v>
      </c>
      <c r="AZ1914">
        <v>300</v>
      </c>
      <c r="BA1914">
        <v>1</v>
      </c>
      <c r="BB1914" t="str">
        <f t="shared" si="95"/>
        <v xml:space="preserve">N162AM  </v>
      </c>
      <c r="BC1914">
        <v>1</v>
      </c>
      <c r="BE1914">
        <v>0</v>
      </c>
      <c r="BF1914">
        <v>0</v>
      </c>
      <c r="BG1914">
        <v>0</v>
      </c>
      <c r="BH1914">
        <v>1775</v>
      </c>
      <c r="BI1914">
        <v>1</v>
      </c>
      <c r="BJ1914">
        <v>1</v>
      </c>
      <c r="BK1914">
        <v>1</v>
      </c>
      <c r="BL1914">
        <v>0</v>
      </c>
      <c r="BO1914">
        <v>0</v>
      </c>
      <c r="BP1914">
        <v>0</v>
      </c>
      <c r="BW1914" t="str">
        <f>"14:52:52.047"</f>
        <v>14:52:52.047</v>
      </c>
      <c r="CJ1914">
        <v>3</v>
      </c>
      <c r="CK1914">
        <v>2</v>
      </c>
      <c r="CL1914">
        <v>0</v>
      </c>
      <c r="CM1914">
        <v>2</v>
      </c>
      <c r="CN1914">
        <v>0</v>
      </c>
      <c r="CO1914">
        <v>1</v>
      </c>
      <c r="CP1914" t="s">
        <v>119</v>
      </c>
      <c r="CQ1914">
        <v>216</v>
      </c>
      <c r="CR1914">
        <v>0</v>
      </c>
      <c r="CW1914">
        <v>1127809</v>
      </c>
      <c r="CY1914">
        <v>1</v>
      </c>
      <c r="CZ1914">
        <v>0</v>
      </c>
      <c r="DA1914">
        <v>0</v>
      </c>
      <c r="DB1914">
        <v>0</v>
      </c>
      <c r="DC1914">
        <v>0</v>
      </c>
      <c r="DD1914">
        <v>1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>"12/16/2021 14:52:52.261"</f>
        <v>12/16/2021 14:52:52.261</v>
      </c>
      <c r="C1915" t="str">
        <f t="shared" si="94"/>
        <v>FFDFD3C0</v>
      </c>
      <c r="D1915" t="s">
        <v>124</v>
      </c>
      <c r="E1915">
        <v>10</v>
      </c>
      <c r="F1915">
        <v>1010</v>
      </c>
      <c r="G1915" t="s">
        <v>130</v>
      </c>
      <c r="J1915" t="s">
        <v>125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>"14:52:52.047"</f>
        <v>14:52:52.047</v>
      </c>
      <c r="T1915" t="str">
        <f>"14:52:51.647"</f>
        <v>14:52:51.647</v>
      </c>
      <c r="U1915" t="str">
        <f t="shared" si="93"/>
        <v>A0F928</v>
      </c>
      <c r="V1915">
        <v>0</v>
      </c>
      <c r="W1915">
        <v>0</v>
      </c>
      <c r="X1915">
        <v>2</v>
      </c>
      <c r="Z1915">
        <v>0</v>
      </c>
      <c r="AA1915">
        <v>9</v>
      </c>
      <c r="AB1915">
        <v>3</v>
      </c>
      <c r="AC1915">
        <v>0</v>
      </c>
      <c r="AD1915">
        <v>10</v>
      </c>
      <c r="AE1915">
        <v>0</v>
      </c>
      <c r="AF1915">
        <v>3</v>
      </c>
      <c r="AG1915">
        <v>2</v>
      </c>
      <c r="AH1915">
        <v>1</v>
      </c>
      <c r="AI1915" t="s">
        <v>1014</v>
      </c>
      <c r="AJ1915">
        <v>35.851264</v>
      </c>
      <c r="AK1915" t="s">
        <v>1015</v>
      </c>
      <c r="AL1915">
        <v>-83.986530000000002</v>
      </c>
      <c r="AM1915">
        <v>25</v>
      </c>
      <c r="AN1915">
        <v>1525</v>
      </c>
      <c r="AO1915" t="s">
        <v>118</v>
      </c>
      <c r="AP1915">
        <v>84</v>
      </c>
      <c r="AQ1915">
        <v>83</v>
      </c>
      <c r="AR1915">
        <v>-512</v>
      </c>
      <c r="AZ1915">
        <v>300</v>
      </c>
      <c r="BA1915">
        <v>1</v>
      </c>
      <c r="BB1915" t="str">
        <f t="shared" si="95"/>
        <v xml:space="preserve">N162AM  </v>
      </c>
      <c r="BC1915">
        <v>1</v>
      </c>
      <c r="BE1915">
        <v>0</v>
      </c>
      <c r="BF1915">
        <v>0</v>
      </c>
      <c r="BG1915">
        <v>0</v>
      </c>
      <c r="BH1915">
        <v>1775</v>
      </c>
      <c r="BI1915">
        <v>1</v>
      </c>
      <c r="BJ1915">
        <v>1</v>
      </c>
      <c r="BK1915">
        <v>1</v>
      </c>
      <c r="BL1915">
        <v>0</v>
      </c>
      <c r="BO1915">
        <v>0</v>
      </c>
      <c r="BP1915">
        <v>0</v>
      </c>
      <c r="BW1915" t="str">
        <f>"14:52:52.047"</f>
        <v>14:52:52.047</v>
      </c>
      <c r="CJ1915">
        <v>3</v>
      </c>
      <c r="CK1915">
        <v>2</v>
      </c>
      <c r="CL1915">
        <v>0</v>
      </c>
      <c r="CM1915">
        <v>2</v>
      </c>
      <c r="CN1915">
        <v>0</v>
      </c>
      <c r="CO1915">
        <v>1</v>
      </c>
      <c r="CP1915" t="s">
        <v>119</v>
      </c>
      <c r="CQ1915">
        <v>216</v>
      </c>
      <c r="CR1915">
        <v>0</v>
      </c>
      <c r="CW1915">
        <v>1127809</v>
      </c>
      <c r="CY1915">
        <v>1</v>
      </c>
      <c r="CZ1915">
        <v>0</v>
      </c>
      <c r="DA1915">
        <v>1</v>
      </c>
      <c r="DB1915">
        <v>0</v>
      </c>
      <c r="DC1915">
        <v>0</v>
      </c>
      <c r="DD1915">
        <v>1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>"12/16/2021 14:52:52.324"</f>
        <v>12/16/2021 14:52:52.324</v>
      </c>
      <c r="C1916" t="str">
        <f t="shared" si="94"/>
        <v>FFDFD3C0</v>
      </c>
      <c r="D1916" t="s">
        <v>133</v>
      </c>
      <c r="E1916">
        <v>44</v>
      </c>
      <c r="H1916">
        <v>131</v>
      </c>
      <c r="I1916" t="s">
        <v>134</v>
      </c>
      <c r="J1916" t="s">
        <v>135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>"14:52:52.047"</f>
        <v>14:52:52.047</v>
      </c>
      <c r="T1916" t="str">
        <f>"14:52:51.647"</f>
        <v>14:52:51.647</v>
      </c>
      <c r="U1916" t="str">
        <f t="shared" si="93"/>
        <v>A0F928</v>
      </c>
      <c r="V1916">
        <v>0</v>
      </c>
      <c r="W1916">
        <v>0</v>
      </c>
      <c r="X1916">
        <v>2</v>
      </c>
      <c r="Z1916">
        <v>0</v>
      </c>
      <c r="AA1916">
        <v>9</v>
      </c>
      <c r="AB1916">
        <v>3</v>
      </c>
      <c r="AC1916">
        <v>0</v>
      </c>
      <c r="AD1916">
        <v>10</v>
      </c>
      <c r="AE1916">
        <v>0</v>
      </c>
      <c r="AF1916">
        <v>3</v>
      </c>
      <c r="AG1916">
        <v>2</v>
      </c>
      <c r="AH1916">
        <v>1</v>
      </c>
      <c r="AI1916" t="s">
        <v>1014</v>
      </c>
      <c r="AJ1916">
        <v>35.851264</v>
      </c>
      <c r="AK1916" t="s">
        <v>1015</v>
      </c>
      <c r="AL1916">
        <v>-83.986530000000002</v>
      </c>
      <c r="AM1916">
        <v>25</v>
      </c>
      <c r="AN1916">
        <v>1525</v>
      </c>
      <c r="AO1916" t="s">
        <v>118</v>
      </c>
      <c r="AP1916">
        <v>84</v>
      </c>
      <c r="AQ1916">
        <v>83</v>
      </c>
      <c r="AR1916">
        <v>-512</v>
      </c>
      <c r="AZ1916">
        <v>300</v>
      </c>
      <c r="BA1916">
        <v>1</v>
      </c>
      <c r="BB1916" t="str">
        <f t="shared" si="95"/>
        <v xml:space="preserve">N162AM  </v>
      </c>
      <c r="BC1916">
        <v>1</v>
      </c>
      <c r="BE1916">
        <v>0</v>
      </c>
      <c r="BF1916">
        <v>0</v>
      </c>
      <c r="BG1916">
        <v>0</v>
      </c>
      <c r="BH1916">
        <v>1775</v>
      </c>
      <c r="BI1916">
        <v>1</v>
      </c>
      <c r="BJ1916">
        <v>1</v>
      </c>
      <c r="BK1916">
        <v>1</v>
      </c>
      <c r="BL1916">
        <v>0</v>
      </c>
      <c r="BO1916">
        <v>0</v>
      </c>
      <c r="BP1916">
        <v>0</v>
      </c>
      <c r="BW1916" t="str">
        <f>"14:52:52.047"</f>
        <v>14:52:52.047</v>
      </c>
      <c r="CJ1916">
        <v>3</v>
      </c>
      <c r="CK1916">
        <v>2</v>
      </c>
      <c r="CL1916">
        <v>0</v>
      </c>
      <c r="CM1916">
        <v>2</v>
      </c>
      <c r="CN1916">
        <v>0</v>
      </c>
      <c r="CO1916">
        <v>1</v>
      </c>
      <c r="CP1916" t="s">
        <v>119</v>
      </c>
      <c r="CQ1916">
        <v>216</v>
      </c>
      <c r="CR1916">
        <v>0</v>
      </c>
      <c r="CW1916">
        <v>1127809</v>
      </c>
      <c r="CY1916">
        <v>1</v>
      </c>
      <c r="CZ1916">
        <v>0</v>
      </c>
      <c r="DA1916">
        <v>1</v>
      </c>
      <c r="DB1916">
        <v>0</v>
      </c>
      <c r="DC1916">
        <v>0</v>
      </c>
      <c r="DD1916">
        <v>1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>"12/16/2021 14:52:52.324"</f>
        <v>12/16/2021 14:52:52.324</v>
      </c>
      <c r="C1917" t="str">
        <f t="shared" si="94"/>
        <v>FFDFD3C0</v>
      </c>
      <c r="D1917" t="s">
        <v>124</v>
      </c>
      <c r="E1917">
        <v>5</v>
      </c>
      <c r="F1917">
        <v>1005</v>
      </c>
      <c r="G1917" t="s">
        <v>114</v>
      </c>
      <c r="J1917" t="s">
        <v>125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>"14:52:52.047"</f>
        <v>14:52:52.047</v>
      </c>
      <c r="T1917" t="str">
        <f>"14:52:51.647"</f>
        <v>14:52:51.647</v>
      </c>
      <c r="U1917" t="str">
        <f t="shared" si="93"/>
        <v>A0F928</v>
      </c>
      <c r="V1917">
        <v>0</v>
      </c>
      <c r="W1917">
        <v>0</v>
      </c>
      <c r="X1917">
        <v>2</v>
      </c>
      <c r="Z1917">
        <v>0</v>
      </c>
      <c r="AA1917">
        <v>9</v>
      </c>
      <c r="AB1917">
        <v>3</v>
      </c>
      <c r="AC1917">
        <v>0</v>
      </c>
      <c r="AD1917">
        <v>10</v>
      </c>
      <c r="AE1917">
        <v>0</v>
      </c>
      <c r="AF1917">
        <v>3</v>
      </c>
      <c r="AG1917">
        <v>2</v>
      </c>
      <c r="AH1917">
        <v>1</v>
      </c>
      <c r="AI1917" t="s">
        <v>1014</v>
      </c>
      <c r="AJ1917">
        <v>35.851264</v>
      </c>
      <c r="AK1917" t="s">
        <v>1015</v>
      </c>
      <c r="AL1917">
        <v>-83.986530000000002</v>
      </c>
      <c r="AM1917">
        <v>25</v>
      </c>
      <c r="AN1917">
        <v>1525</v>
      </c>
      <c r="AO1917" t="s">
        <v>118</v>
      </c>
      <c r="AP1917">
        <v>84</v>
      </c>
      <c r="AQ1917">
        <v>83</v>
      </c>
      <c r="AR1917">
        <v>-512</v>
      </c>
      <c r="AZ1917">
        <v>300</v>
      </c>
      <c r="BA1917">
        <v>1</v>
      </c>
      <c r="BB1917" t="str">
        <f t="shared" si="95"/>
        <v xml:space="preserve">N162AM  </v>
      </c>
      <c r="BC1917">
        <v>1</v>
      </c>
      <c r="BE1917">
        <v>0</v>
      </c>
      <c r="BF1917">
        <v>0</v>
      </c>
      <c r="BG1917">
        <v>0</v>
      </c>
      <c r="BH1917">
        <v>1775</v>
      </c>
      <c r="BI1917">
        <v>1</v>
      </c>
      <c r="BJ1917">
        <v>1</v>
      </c>
      <c r="BK1917">
        <v>1</v>
      </c>
      <c r="BL1917">
        <v>0</v>
      </c>
      <c r="BO1917">
        <v>0</v>
      </c>
      <c r="BP1917">
        <v>0</v>
      </c>
      <c r="BW1917" t="str">
        <f>"14:52:52.047"</f>
        <v>14:52:52.047</v>
      </c>
      <c r="CJ1917">
        <v>3</v>
      </c>
      <c r="CK1917">
        <v>2</v>
      </c>
      <c r="CL1917">
        <v>0</v>
      </c>
      <c r="CM1917">
        <v>2</v>
      </c>
      <c r="CN1917">
        <v>0</v>
      </c>
      <c r="CO1917">
        <v>1</v>
      </c>
      <c r="CP1917" t="s">
        <v>119</v>
      </c>
      <c r="CQ1917">
        <v>216</v>
      </c>
      <c r="CR1917">
        <v>0</v>
      </c>
      <c r="CW1917">
        <v>1127809</v>
      </c>
      <c r="CY1917">
        <v>1</v>
      </c>
      <c r="CZ1917">
        <v>0</v>
      </c>
      <c r="DA1917">
        <v>1</v>
      </c>
      <c r="DB1917">
        <v>0</v>
      </c>
      <c r="DC1917">
        <v>0</v>
      </c>
      <c r="DD1917">
        <v>1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>"12/16/2021 14:52:53.324"</f>
        <v>12/16/2021 14:52:53.324</v>
      </c>
      <c r="C1918" t="str">
        <f t="shared" si="94"/>
        <v>FFDFD3C0</v>
      </c>
      <c r="D1918" t="s">
        <v>124</v>
      </c>
      <c r="E1918">
        <v>10</v>
      </c>
      <c r="F1918">
        <v>1010</v>
      </c>
      <c r="G1918" t="s">
        <v>130</v>
      </c>
      <c r="J1918" t="s">
        <v>125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>"14:52:53.117"</f>
        <v>14:52:53.117</v>
      </c>
      <c r="T1918" t="str">
        <f>"14:52:52.617"</f>
        <v>14:52:52.617</v>
      </c>
      <c r="U1918" t="str">
        <f t="shared" si="93"/>
        <v>A0F928</v>
      </c>
      <c r="V1918">
        <v>0</v>
      </c>
      <c r="W1918">
        <v>0</v>
      </c>
      <c r="X1918">
        <v>2</v>
      </c>
      <c r="Z1918">
        <v>0</v>
      </c>
      <c r="AA1918">
        <v>9</v>
      </c>
      <c r="AB1918">
        <v>3</v>
      </c>
      <c r="AC1918">
        <v>0</v>
      </c>
      <c r="AD1918">
        <v>10</v>
      </c>
      <c r="AE1918">
        <v>0</v>
      </c>
      <c r="AF1918">
        <v>3</v>
      </c>
      <c r="AG1918">
        <v>2</v>
      </c>
      <c r="AH1918">
        <v>1</v>
      </c>
      <c r="AI1918" t="s">
        <v>1016</v>
      </c>
      <c r="AJ1918">
        <v>35.851692999999997</v>
      </c>
      <c r="AK1918" t="s">
        <v>252</v>
      </c>
      <c r="AL1918">
        <v>-83.985972000000004</v>
      </c>
      <c r="AM1918">
        <v>25</v>
      </c>
      <c r="AN1918">
        <v>1500</v>
      </c>
      <c r="AO1918" t="s">
        <v>118</v>
      </c>
      <c r="AP1918">
        <v>84</v>
      </c>
      <c r="AQ1918">
        <v>83</v>
      </c>
      <c r="AR1918">
        <v>-384</v>
      </c>
      <c r="AZ1918">
        <v>300</v>
      </c>
      <c r="BA1918">
        <v>1</v>
      </c>
      <c r="BB1918" t="str">
        <f t="shared" si="95"/>
        <v xml:space="preserve">N162AM  </v>
      </c>
      <c r="BC1918">
        <v>1</v>
      </c>
      <c r="BE1918">
        <v>0</v>
      </c>
      <c r="BF1918">
        <v>0</v>
      </c>
      <c r="BG1918">
        <v>0</v>
      </c>
      <c r="BH1918">
        <v>1775</v>
      </c>
      <c r="BI1918">
        <v>1</v>
      </c>
      <c r="BJ1918">
        <v>1</v>
      </c>
      <c r="BK1918">
        <v>1</v>
      </c>
      <c r="BL1918">
        <v>0</v>
      </c>
      <c r="BO1918">
        <v>0</v>
      </c>
      <c r="BP1918">
        <v>0</v>
      </c>
      <c r="BW1918" t="str">
        <f>"14:52:53.119"</f>
        <v>14:52:53.119</v>
      </c>
      <c r="CJ1918">
        <v>3</v>
      </c>
      <c r="CK1918">
        <v>2</v>
      </c>
      <c r="CL1918">
        <v>0</v>
      </c>
      <c r="CM1918">
        <v>2</v>
      </c>
      <c r="CN1918">
        <v>0</v>
      </c>
      <c r="CO1918">
        <v>6</v>
      </c>
      <c r="CP1918" t="s">
        <v>119</v>
      </c>
      <c r="CQ1918">
        <v>232</v>
      </c>
      <c r="CR1918">
        <v>2</v>
      </c>
      <c r="CW1918">
        <v>6970169</v>
      </c>
      <c r="CY1918">
        <v>1</v>
      </c>
      <c r="CZ1918">
        <v>0</v>
      </c>
      <c r="DA1918">
        <v>0</v>
      </c>
      <c r="DB1918">
        <v>0</v>
      </c>
      <c r="DC1918">
        <v>0</v>
      </c>
      <c r="DD1918">
        <v>1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>"12/16/2021 14:52:53.324"</f>
        <v>12/16/2021 14:52:53.324</v>
      </c>
      <c r="C1919" t="str">
        <f t="shared" si="94"/>
        <v>FFDFD3C0</v>
      </c>
      <c r="D1919" t="s">
        <v>113</v>
      </c>
      <c r="E1919">
        <v>8</v>
      </c>
      <c r="H1919">
        <v>176</v>
      </c>
      <c r="I1919" t="s">
        <v>114</v>
      </c>
      <c r="J1919" t="s">
        <v>115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>"14:52:53.117"</f>
        <v>14:52:53.117</v>
      </c>
      <c r="T1919" t="str">
        <f>"14:52:52.617"</f>
        <v>14:52:52.617</v>
      </c>
      <c r="U1919" t="str">
        <f t="shared" si="93"/>
        <v>A0F928</v>
      </c>
      <c r="V1919">
        <v>0</v>
      </c>
      <c r="W1919">
        <v>0</v>
      </c>
      <c r="X1919">
        <v>2</v>
      </c>
      <c r="Z1919">
        <v>0</v>
      </c>
      <c r="AA1919">
        <v>9</v>
      </c>
      <c r="AB1919">
        <v>3</v>
      </c>
      <c r="AC1919">
        <v>0</v>
      </c>
      <c r="AD1919">
        <v>10</v>
      </c>
      <c r="AE1919">
        <v>0</v>
      </c>
      <c r="AF1919">
        <v>3</v>
      </c>
      <c r="AG1919">
        <v>2</v>
      </c>
      <c r="AH1919">
        <v>1</v>
      </c>
      <c r="AI1919" t="s">
        <v>1016</v>
      </c>
      <c r="AJ1919">
        <v>35.851692999999997</v>
      </c>
      <c r="AK1919" t="s">
        <v>252</v>
      </c>
      <c r="AL1919">
        <v>-83.985972000000004</v>
      </c>
      <c r="AM1919">
        <v>25</v>
      </c>
      <c r="AN1919">
        <v>1500</v>
      </c>
      <c r="AO1919" t="s">
        <v>118</v>
      </c>
      <c r="AP1919">
        <v>84</v>
      </c>
      <c r="AQ1919">
        <v>83</v>
      </c>
      <c r="AR1919">
        <v>-384</v>
      </c>
      <c r="AZ1919">
        <v>300</v>
      </c>
      <c r="BA1919">
        <v>1</v>
      </c>
      <c r="BB1919" t="str">
        <f t="shared" si="95"/>
        <v xml:space="preserve">N162AM  </v>
      </c>
      <c r="BC1919">
        <v>1</v>
      </c>
      <c r="BE1919">
        <v>0</v>
      </c>
      <c r="BF1919">
        <v>0</v>
      </c>
      <c r="BG1919">
        <v>0</v>
      </c>
      <c r="BH1919">
        <v>1775</v>
      </c>
      <c r="BI1919">
        <v>1</v>
      </c>
      <c r="BJ1919">
        <v>1</v>
      </c>
      <c r="BK1919">
        <v>1</v>
      </c>
      <c r="BL1919">
        <v>0</v>
      </c>
      <c r="BO1919">
        <v>0</v>
      </c>
      <c r="BP1919">
        <v>0</v>
      </c>
      <c r="BW1919" t="str">
        <f>"14:52:53.119"</f>
        <v>14:52:53.119</v>
      </c>
      <c r="CJ1919">
        <v>3</v>
      </c>
      <c r="CK1919">
        <v>2</v>
      </c>
      <c r="CL1919">
        <v>0</v>
      </c>
      <c r="CM1919">
        <v>2</v>
      </c>
      <c r="CN1919">
        <v>0</v>
      </c>
      <c r="CO1919">
        <v>6</v>
      </c>
      <c r="CP1919" t="s">
        <v>119</v>
      </c>
      <c r="CQ1919">
        <v>232</v>
      </c>
      <c r="CR1919">
        <v>2</v>
      </c>
      <c r="CW1919">
        <v>6970169</v>
      </c>
      <c r="CY1919">
        <v>1</v>
      </c>
      <c r="CZ1919">
        <v>0</v>
      </c>
      <c r="DA1919">
        <v>1</v>
      </c>
      <c r="DB1919">
        <v>0</v>
      </c>
      <c r="DC1919">
        <v>0</v>
      </c>
      <c r="DD1919">
        <v>1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>"12/16/2021 14:52:53.339"</f>
        <v>12/16/2021 14:52:53.339</v>
      </c>
      <c r="C1920" t="str">
        <f t="shared" si="94"/>
        <v>FFDFD3C0</v>
      </c>
      <c r="D1920" t="s">
        <v>133</v>
      </c>
      <c r="E1920">
        <v>44</v>
      </c>
      <c r="H1920">
        <v>131</v>
      </c>
      <c r="I1920" t="s">
        <v>134</v>
      </c>
      <c r="J1920" t="s">
        <v>135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>"14:52:53.117"</f>
        <v>14:52:53.117</v>
      </c>
      <c r="T1920" t="str">
        <f>"14:52:52.617"</f>
        <v>14:52:52.617</v>
      </c>
      <c r="U1920" t="str">
        <f t="shared" si="93"/>
        <v>A0F928</v>
      </c>
      <c r="V1920">
        <v>0</v>
      </c>
      <c r="W1920">
        <v>0</v>
      </c>
      <c r="X1920">
        <v>2</v>
      </c>
      <c r="Z1920">
        <v>0</v>
      </c>
      <c r="AA1920">
        <v>9</v>
      </c>
      <c r="AB1920">
        <v>3</v>
      </c>
      <c r="AC1920">
        <v>0</v>
      </c>
      <c r="AD1920">
        <v>10</v>
      </c>
      <c r="AE1920">
        <v>0</v>
      </c>
      <c r="AF1920">
        <v>3</v>
      </c>
      <c r="AG1920">
        <v>2</v>
      </c>
      <c r="AH1920">
        <v>1</v>
      </c>
      <c r="AI1920" t="s">
        <v>1016</v>
      </c>
      <c r="AJ1920">
        <v>35.851692999999997</v>
      </c>
      <c r="AK1920" t="s">
        <v>252</v>
      </c>
      <c r="AL1920">
        <v>-83.985972000000004</v>
      </c>
      <c r="AM1920">
        <v>25</v>
      </c>
      <c r="AN1920">
        <v>1500</v>
      </c>
      <c r="AO1920" t="s">
        <v>118</v>
      </c>
      <c r="AP1920">
        <v>84</v>
      </c>
      <c r="AQ1920">
        <v>83</v>
      </c>
      <c r="AR1920">
        <v>-384</v>
      </c>
      <c r="AZ1920">
        <v>300</v>
      </c>
      <c r="BA1920">
        <v>1</v>
      </c>
      <c r="BB1920" t="str">
        <f t="shared" si="95"/>
        <v xml:space="preserve">N162AM  </v>
      </c>
      <c r="BC1920">
        <v>1</v>
      </c>
      <c r="BE1920">
        <v>0</v>
      </c>
      <c r="BF1920">
        <v>0</v>
      </c>
      <c r="BG1920">
        <v>0</v>
      </c>
      <c r="BH1920">
        <v>1775</v>
      </c>
      <c r="BI1920">
        <v>1</v>
      </c>
      <c r="BJ1920">
        <v>1</v>
      </c>
      <c r="BK1920">
        <v>1</v>
      </c>
      <c r="BL1920">
        <v>0</v>
      </c>
      <c r="BO1920">
        <v>0</v>
      </c>
      <c r="BP1920">
        <v>0</v>
      </c>
      <c r="BW1920" t="str">
        <f>"14:52:53.119"</f>
        <v>14:52:53.119</v>
      </c>
      <c r="CJ1920">
        <v>3</v>
      </c>
      <c r="CK1920">
        <v>2</v>
      </c>
      <c r="CL1920">
        <v>0</v>
      </c>
      <c r="CM1920">
        <v>2</v>
      </c>
      <c r="CN1920">
        <v>0</v>
      </c>
      <c r="CO1920">
        <v>6</v>
      </c>
      <c r="CP1920" t="s">
        <v>119</v>
      </c>
      <c r="CQ1920">
        <v>232</v>
      </c>
      <c r="CR1920">
        <v>2</v>
      </c>
      <c r="CW1920">
        <v>6970169</v>
      </c>
      <c r="CY1920">
        <v>1</v>
      </c>
      <c r="CZ1920">
        <v>0</v>
      </c>
      <c r="DA1920">
        <v>1</v>
      </c>
      <c r="DB1920">
        <v>0</v>
      </c>
      <c r="DC1920">
        <v>0</v>
      </c>
      <c r="DD1920">
        <v>1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>"12/16/2021 14:52:53.371"</f>
        <v>12/16/2021 14:52:53.371</v>
      </c>
      <c r="C1921" t="str">
        <f t="shared" si="94"/>
        <v>FFDFD3C0</v>
      </c>
      <c r="D1921" t="s">
        <v>124</v>
      </c>
      <c r="E1921">
        <v>5</v>
      </c>
      <c r="F1921">
        <v>1005</v>
      </c>
      <c r="G1921" t="s">
        <v>114</v>
      </c>
      <c r="J1921" t="s">
        <v>125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>"14:52:53.117"</f>
        <v>14:52:53.117</v>
      </c>
      <c r="T1921" t="str">
        <f>"14:52:52.617"</f>
        <v>14:52:52.617</v>
      </c>
      <c r="U1921" t="str">
        <f t="shared" si="93"/>
        <v>A0F928</v>
      </c>
      <c r="V1921">
        <v>0</v>
      </c>
      <c r="W1921">
        <v>0</v>
      </c>
      <c r="X1921">
        <v>2</v>
      </c>
      <c r="Z1921">
        <v>0</v>
      </c>
      <c r="AA1921">
        <v>9</v>
      </c>
      <c r="AB1921">
        <v>3</v>
      </c>
      <c r="AC1921">
        <v>0</v>
      </c>
      <c r="AD1921">
        <v>10</v>
      </c>
      <c r="AE1921">
        <v>0</v>
      </c>
      <c r="AF1921">
        <v>3</v>
      </c>
      <c r="AG1921">
        <v>2</v>
      </c>
      <c r="AH1921">
        <v>1</v>
      </c>
      <c r="AI1921" t="s">
        <v>1016</v>
      </c>
      <c r="AJ1921">
        <v>35.851692999999997</v>
      </c>
      <c r="AK1921" t="s">
        <v>252</v>
      </c>
      <c r="AL1921">
        <v>-83.985972000000004</v>
      </c>
      <c r="AM1921">
        <v>25</v>
      </c>
      <c r="AN1921">
        <v>1500</v>
      </c>
      <c r="AO1921" t="s">
        <v>118</v>
      </c>
      <c r="AP1921">
        <v>84</v>
      </c>
      <c r="AQ1921">
        <v>83</v>
      </c>
      <c r="AR1921">
        <v>-384</v>
      </c>
      <c r="AZ1921">
        <v>300</v>
      </c>
      <c r="BA1921">
        <v>1</v>
      </c>
      <c r="BB1921" t="str">
        <f t="shared" si="95"/>
        <v xml:space="preserve">N162AM  </v>
      </c>
      <c r="BC1921">
        <v>1</v>
      </c>
      <c r="BE1921">
        <v>0</v>
      </c>
      <c r="BF1921">
        <v>0</v>
      </c>
      <c r="BG1921">
        <v>0</v>
      </c>
      <c r="BH1921">
        <v>1775</v>
      </c>
      <c r="BI1921">
        <v>1</v>
      </c>
      <c r="BJ1921">
        <v>1</v>
      </c>
      <c r="BK1921">
        <v>1</v>
      </c>
      <c r="BL1921">
        <v>0</v>
      </c>
      <c r="BO1921">
        <v>0</v>
      </c>
      <c r="BP1921">
        <v>0</v>
      </c>
      <c r="BW1921" t="str">
        <f>"14:52:53.119"</f>
        <v>14:52:53.119</v>
      </c>
      <c r="CJ1921">
        <v>3</v>
      </c>
      <c r="CK1921">
        <v>2</v>
      </c>
      <c r="CL1921">
        <v>0</v>
      </c>
      <c r="CM1921">
        <v>2</v>
      </c>
      <c r="CN1921">
        <v>0</v>
      </c>
      <c r="CO1921">
        <v>6</v>
      </c>
      <c r="CP1921" t="s">
        <v>119</v>
      </c>
      <c r="CQ1921">
        <v>232</v>
      </c>
      <c r="CR1921">
        <v>2</v>
      </c>
      <c r="CW1921">
        <v>6970169</v>
      </c>
      <c r="CY1921">
        <v>1</v>
      </c>
      <c r="CZ1921">
        <v>0</v>
      </c>
      <c r="DA1921">
        <v>1</v>
      </c>
      <c r="DB1921">
        <v>0</v>
      </c>
      <c r="DC1921">
        <v>0</v>
      </c>
      <c r="DD1921">
        <v>1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>"12/16/2021 14:52:54.277"</f>
        <v>12/16/2021 14:52:54.277</v>
      </c>
      <c r="C1922" t="str">
        <f t="shared" si="94"/>
        <v>FFDFD3C0</v>
      </c>
      <c r="D1922" t="s">
        <v>124</v>
      </c>
      <c r="E1922">
        <v>10</v>
      </c>
      <c r="F1922">
        <v>1010</v>
      </c>
      <c r="G1922" t="s">
        <v>130</v>
      </c>
      <c r="J1922" t="s">
        <v>125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>"14:52:54.086"</f>
        <v>14:52:54.086</v>
      </c>
      <c r="T1922" t="str">
        <f>"14:52:53.586"</f>
        <v>14:52:53.586</v>
      </c>
      <c r="U1922" t="str">
        <f t="shared" ref="U1922:U1985" si="96">"A0F928"</f>
        <v>A0F928</v>
      </c>
      <c r="V1922">
        <v>0</v>
      </c>
      <c r="W1922">
        <v>0</v>
      </c>
      <c r="X1922">
        <v>2</v>
      </c>
      <c r="Z1922">
        <v>0</v>
      </c>
      <c r="AA1922">
        <v>9</v>
      </c>
      <c r="AB1922">
        <v>3</v>
      </c>
      <c r="AC1922">
        <v>0</v>
      </c>
      <c r="AD1922">
        <v>10</v>
      </c>
      <c r="AE1922">
        <v>0</v>
      </c>
      <c r="AF1922">
        <v>3</v>
      </c>
      <c r="AG1922">
        <v>2</v>
      </c>
      <c r="AH1922">
        <v>1</v>
      </c>
      <c r="AI1922" t="s">
        <v>1017</v>
      </c>
      <c r="AJ1922">
        <v>35.852058</v>
      </c>
      <c r="AK1922" t="s">
        <v>1018</v>
      </c>
      <c r="AL1922">
        <v>-83.985522000000003</v>
      </c>
      <c r="AM1922">
        <v>25</v>
      </c>
      <c r="AN1922">
        <v>1500</v>
      </c>
      <c r="AO1922" t="s">
        <v>118</v>
      </c>
      <c r="AP1922">
        <v>84</v>
      </c>
      <c r="AQ1922">
        <v>83</v>
      </c>
      <c r="AR1922">
        <v>-320</v>
      </c>
      <c r="AZ1922">
        <v>300</v>
      </c>
      <c r="BA1922">
        <v>1</v>
      </c>
      <c r="BB1922" t="str">
        <f t="shared" si="95"/>
        <v xml:space="preserve">N162AM  </v>
      </c>
      <c r="BC1922">
        <v>1</v>
      </c>
      <c r="BE1922">
        <v>0</v>
      </c>
      <c r="BF1922">
        <v>0</v>
      </c>
      <c r="BG1922">
        <v>0</v>
      </c>
      <c r="BH1922">
        <v>1750</v>
      </c>
      <c r="BI1922">
        <v>1</v>
      </c>
      <c r="BJ1922">
        <v>1</v>
      </c>
      <c r="BK1922">
        <v>1</v>
      </c>
      <c r="BL1922">
        <v>0</v>
      </c>
      <c r="BO1922">
        <v>0</v>
      </c>
      <c r="BP1922">
        <v>0</v>
      </c>
      <c r="BW1922" t="str">
        <f>"14:52:54.090"</f>
        <v>14:52:54.090</v>
      </c>
      <c r="CJ1922">
        <v>3</v>
      </c>
      <c r="CK1922">
        <v>2</v>
      </c>
      <c r="CL1922">
        <v>0</v>
      </c>
      <c r="CM1922">
        <v>2</v>
      </c>
      <c r="CN1922">
        <v>0</v>
      </c>
      <c r="CO1922">
        <v>5</v>
      </c>
      <c r="CP1922" t="s">
        <v>119</v>
      </c>
      <c r="CQ1922">
        <v>232</v>
      </c>
      <c r="CR1922">
        <v>1</v>
      </c>
      <c r="CW1922">
        <v>15757574</v>
      </c>
      <c r="CY1922">
        <v>1</v>
      </c>
      <c r="CZ1922">
        <v>0</v>
      </c>
      <c r="DA1922">
        <v>0</v>
      </c>
      <c r="DB1922">
        <v>0</v>
      </c>
      <c r="DC1922">
        <v>0</v>
      </c>
      <c r="DD1922">
        <v>1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>"12/16/2021 14:52:54.277"</f>
        <v>12/16/2021 14:52:54.277</v>
      </c>
      <c r="C1923" t="str">
        <f t="shared" si="94"/>
        <v>FFDFD3C0</v>
      </c>
      <c r="D1923" t="s">
        <v>113</v>
      </c>
      <c r="E1923">
        <v>8</v>
      </c>
      <c r="H1923">
        <v>176</v>
      </c>
      <c r="I1923" t="s">
        <v>114</v>
      </c>
      <c r="J1923" t="s">
        <v>115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>"14:52:54.086"</f>
        <v>14:52:54.086</v>
      </c>
      <c r="T1923" t="str">
        <f>"14:52:53.586"</f>
        <v>14:52:53.586</v>
      </c>
      <c r="U1923" t="str">
        <f t="shared" si="96"/>
        <v>A0F928</v>
      </c>
      <c r="V1923">
        <v>0</v>
      </c>
      <c r="W1923">
        <v>0</v>
      </c>
      <c r="X1923">
        <v>2</v>
      </c>
      <c r="Z1923">
        <v>0</v>
      </c>
      <c r="AA1923">
        <v>9</v>
      </c>
      <c r="AB1923">
        <v>3</v>
      </c>
      <c r="AC1923">
        <v>0</v>
      </c>
      <c r="AD1923">
        <v>10</v>
      </c>
      <c r="AE1923">
        <v>0</v>
      </c>
      <c r="AF1923">
        <v>3</v>
      </c>
      <c r="AG1923">
        <v>2</v>
      </c>
      <c r="AH1923">
        <v>1</v>
      </c>
      <c r="AI1923" t="s">
        <v>1017</v>
      </c>
      <c r="AJ1923">
        <v>35.852058</v>
      </c>
      <c r="AK1923" t="s">
        <v>1018</v>
      </c>
      <c r="AL1923">
        <v>-83.985522000000003</v>
      </c>
      <c r="AM1923">
        <v>25</v>
      </c>
      <c r="AN1923">
        <v>1500</v>
      </c>
      <c r="AO1923" t="s">
        <v>118</v>
      </c>
      <c r="AP1923">
        <v>84</v>
      </c>
      <c r="AQ1923">
        <v>83</v>
      </c>
      <c r="AR1923">
        <v>-320</v>
      </c>
      <c r="AZ1923">
        <v>300</v>
      </c>
      <c r="BA1923">
        <v>1</v>
      </c>
      <c r="BB1923" t="str">
        <f t="shared" si="95"/>
        <v xml:space="preserve">N162AM  </v>
      </c>
      <c r="BC1923">
        <v>1</v>
      </c>
      <c r="BE1923">
        <v>0</v>
      </c>
      <c r="BF1923">
        <v>0</v>
      </c>
      <c r="BG1923">
        <v>0</v>
      </c>
      <c r="BH1923">
        <v>1750</v>
      </c>
      <c r="BI1923">
        <v>1</v>
      </c>
      <c r="BJ1923">
        <v>1</v>
      </c>
      <c r="BK1923">
        <v>1</v>
      </c>
      <c r="BL1923">
        <v>0</v>
      </c>
      <c r="BO1923">
        <v>0</v>
      </c>
      <c r="BP1923">
        <v>0</v>
      </c>
      <c r="BW1923" t="str">
        <f>"14:52:54.090"</f>
        <v>14:52:54.090</v>
      </c>
      <c r="CJ1923">
        <v>3</v>
      </c>
      <c r="CK1923">
        <v>2</v>
      </c>
      <c r="CL1923">
        <v>0</v>
      </c>
      <c r="CM1923">
        <v>2</v>
      </c>
      <c r="CN1923">
        <v>0</v>
      </c>
      <c r="CO1923">
        <v>5</v>
      </c>
      <c r="CP1923" t="s">
        <v>119</v>
      </c>
      <c r="CQ1923">
        <v>232</v>
      </c>
      <c r="CR1923">
        <v>1</v>
      </c>
      <c r="CW1923">
        <v>15757574</v>
      </c>
      <c r="CY1923">
        <v>1</v>
      </c>
      <c r="CZ1923">
        <v>0</v>
      </c>
      <c r="DA1923">
        <v>1</v>
      </c>
      <c r="DB1923">
        <v>0</v>
      </c>
      <c r="DC1923">
        <v>0</v>
      </c>
      <c r="DD1923">
        <v>1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>"12/16/2021 14:52:54.308"</f>
        <v>12/16/2021 14:52:54.308</v>
      </c>
      <c r="C1924" t="str">
        <f t="shared" si="94"/>
        <v>FFDFD3C0</v>
      </c>
      <c r="D1924" t="s">
        <v>133</v>
      </c>
      <c r="E1924">
        <v>44</v>
      </c>
      <c r="H1924">
        <v>131</v>
      </c>
      <c r="I1924" t="s">
        <v>134</v>
      </c>
      <c r="J1924" t="s">
        <v>135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>"14:52:54.086"</f>
        <v>14:52:54.086</v>
      </c>
      <c r="T1924" t="str">
        <f>"14:52:53.586"</f>
        <v>14:52:53.586</v>
      </c>
      <c r="U1924" t="str">
        <f t="shared" si="96"/>
        <v>A0F928</v>
      </c>
      <c r="V1924">
        <v>0</v>
      </c>
      <c r="W1924">
        <v>0</v>
      </c>
      <c r="X1924">
        <v>2</v>
      </c>
      <c r="Z1924">
        <v>0</v>
      </c>
      <c r="AA1924">
        <v>9</v>
      </c>
      <c r="AB1924">
        <v>3</v>
      </c>
      <c r="AC1924">
        <v>0</v>
      </c>
      <c r="AD1924">
        <v>10</v>
      </c>
      <c r="AE1924">
        <v>0</v>
      </c>
      <c r="AF1924">
        <v>3</v>
      </c>
      <c r="AG1924">
        <v>2</v>
      </c>
      <c r="AH1924">
        <v>1</v>
      </c>
      <c r="AI1924" t="s">
        <v>1017</v>
      </c>
      <c r="AJ1924">
        <v>35.852058</v>
      </c>
      <c r="AK1924" t="s">
        <v>1018</v>
      </c>
      <c r="AL1924">
        <v>-83.985522000000003</v>
      </c>
      <c r="AM1924">
        <v>25</v>
      </c>
      <c r="AN1924">
        <v>1500</v>
      </c>
      <c r="AO1924" t="s">
        <v>118</v>
      </c>
      <c r="AP1924">
        <v>84</v>
      </c>
      <c r="AQ1924">
        <v>83</v>
      </c>
      <c r="AR1924">
        <v>-320</v>
      </c>
      <c r="AZ1924">
        <v>300</v>
      </c>
      <c r="BA1924">
        <v>1</v>
      </c>
      <c r="BB1924" t="str">
        <f t="shared" si="95"/>
        <v xml:space="preserve">N162AM  </v>
      </c>
      <c r="BC1924">
        <v>1</v>
      </c>
      <c r="BE1924">
        <v>0</v>
      </c>
      <c r="BF1924">
        <v>0</v>
      </c>
      <c r="BG1924">
        <v>0</v>
      </c>
      <c r="BH1924">
        <v>1750</v>
      </c>
      <c r="BI1924">
        <v>1</v>
      </c>
      <c r="BJ1924">
        <v>1</v>
      </c>
      <c r="BK1924">
        <v>1</v>
      </c>
      <c r="BL1924">
        <v>0</v>
      </c>
      <c r="BO1924">
        <v>0</v>
      </c>
      <c r="BP1924">
        <v>0</v>
      </c>
      <c r="BW1924" t="str">
        <f>"14:52:54.090"</f>
        <v>14:52:54.090</v>
      </c>
      <c r="CJ1924">
        <v>3</v>
      </c>
      <c r="CK1924">
        <v>2</v>
      </c>
      <c r="CL1924">
        <v>0</v>
      </c>
      <c r="CM1924">
        <v>2</v>
      </c>
      <c r="CN1924">
        <v>0</v>
      </c>
      <c r="CO1924">
        <v>5</v>
      </c>
      <c r="CP1924" t="s">
        <v>119</v>
      </c>
      <c r="CQ1924">
        <v>232</v>
      </c>
      <c r="CR1924">
        <v>1</v>
      </c>
      <c r="CW1924">
        <v>15757574</v>
      </c>
      <c r="CY1924">
        <v>1</v>
      </c>
      <c r="CZ1924">
        <v>0</v>
      </c>
      <c r="DA1924">
        <v>1</v>
      </c>
      <c r="DB1924">
        <v>0</v>
      </c>
      <c r="DC1924">
        <v>0</v>
      </c>
      <c r="DD1924">
        <v>1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>"12/16/2021 14:52:54.308"</f>
        <v>12/16/2021 14:52:54.308</v>
      </c>
      <c r="C1925" t="str">
        <f t="shared" si="94"/>
        <v>FFDFD3C0</v>
      </c>
      <c r="D1925" t="s">
        <v>124</v>
      </c>
      <c r="E1925">
        <v>5</v>
      </c>
      <c r="F1925">
        <v>1005</v>
      </c>
      <c r="G1925" t="s">
        <v>114</v>
      </c>
      <c r="J1925" t="s">
        <v>125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>"14:52:54.086"</f>
        <v>14:52:54.086</v>
      </c>
      <c r="T1925" t="str">
        <f>"14:52:53.586"</f>
        <v>14:52:53.586</v>
      </c>
      <c r="U1925" t="str">
        <f t="shared" si="96"/>
        <v>A0F928</v>
      </c>
      <c r="V1925">
        <v>0</v>
      </c>
      <c r="W1925">
        <v>0</v>
      </c>
      <c r="X1925">
        <v>2</v>
      </c>
      <c r="Z1925">
        <v>0</v>
      </c>
      <c r="AA1925">
        <v>9</v>
      </c>
      <c r="AB1925">
        <v>3</v>
      </c>
      <c r="AC1925">
        <v>0</v>
      </c>
      <c r="AD1925">
        <v>10</v>
      </c>
      <c r="AE1925">
        <v>0</v>
      </c>
      <c r="AF1925">
        <v>3</v>
      </c>
      <c r="AG1925">
        <v>2</v>
      </c>
      <c r="AH1925">
        <v>1</v>
      </c>
      <c r="AI1925" t="s">
        <v>1017</v>
      </c>
      <c r="AJ1925">
        <v>35.852058</v>
      </c>
      <c r="AK1925" t="s">
        <v>1018</v>
      </c>
      <c r="AL1925">
        <v>-83.985522000000003</v>
      </c>
      <c r="AM1925">
        <v>25</v>
      </c>
      <c r="AN1925">
        <v>1500</v>
      </c>
      <c r="AO1925" t="s">
        <v>118</v>
      </c>
      <c r="AP1925">
        <v>84</v>
      </c>
      <c r="AQ1925">
        <v>83</v>
      </c>
      <c r="AR1925">
        <v>-320</v>
      </c>
      <c r="AZ1925">
        <v>300</v>
      </c>
      <c r="BA1925">
        <v>1</v>
      </c>
      <c r="BB1925" t="str">
        <f t="shared" si="95"/>
        <v xml:space="preserve">N162AM  </v>
      </c>
      <c r="BC1925">
        <v>1</v>
      </c>
      <c r="BE1925">
        <v>0</v>
      </c>
      <c r="BF1925">
        <v>0</v>
      </c>
      <c r="BG1925">
        <v>0</v>
      </c>
      <c r="BH1925">
        <v>1750</v>
      </c>
      <c r="BI1925">
        <v>1</v>
      </c>
      <c r="BJ1925">
        <v>1</v>
      </c>
      <c r="BK1925">
        <v>1</v>
      </c>
      <c r="BL1925">
        <v>0</v>
      </c>
      <c r="BO1925">
        <v>0</v>
      </c>
      <c r="BP1925">
        <v>0</v>
      </c>
      <c r="BW1925" t="str">
        <f>"14:52:54.090"</f>
        <v>14:52:54.090</v>
      </c>
      <c r="CJ1925">
        <v>3</v>
      </c>
      <c r="CK1925">
        <v>2</v>
      </c>
      <c r="CL1925">
        <v>0</v>
      </c>
      <c r="CM1925">
        <v>2</v>
      </c>
      <c r="CN1925">
        <v>0</v>
      </c>
      <c r="CO1925">
        <v>5</v>
      </c>
      <c r="CP1925" t="s">
        <v>119</v>
      </c>
      <c r="CQ1925">
        <v>232</v>
      </c>
      <c r="CR1925">
        <v>1</v>
      </c>
      <c r="CW1925">
        <v>15757574</v>
      </c>
      <c r="CY1925">
        <v>1</v>
      </c>
      <c r="CZ1925">
        <v>0</v>
      </c>
      <c r="DA1925">
        <v>1</v>
      </c>
      <c r="DB1925">
        <v>0</v>
      </c>
      <c r="DC1925">
        <v>0</v>
      </c>
      <c r="DD1925">
        <v>1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>"12/16/2021 14:52:55.235"</f>
        <v>12/16/2021 14:52:55.235</v>
      </c>
      <c r="C1926" t="str">
        <f t="shared" si="94"/>
        <v>FFDFD3C0</v>
      </c>
      <c r="D1926" t="s">
        <v>124</v>
      </c>
      <c r="E1926">
        <v>10</v>
      </c>
      <c r="F1926">
        <v>1010</v>
      </c>
      <c r="G1926" t="s">
        <v>130</v>
      </c>
      <c r="J1926" t="s">
        <v>125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>"14:52:55.023"</f>
        <v>14:52:55.023</v>
      </c>
      <c r="T1926" t="str">
        <f>"14:52:54.623"</f>
        <v>14:52:54.623</v>
      </c>
      <c r="U1926" t="str">
        <f t="shared" si="96"/>
        <v>A0F928</v>
      </c>
      <c r="V1926">
        <v>0</v>
      </c>
      <c r="W1926">
        <v>0</v>
      </c>
      <c r="X1926">
        <v>2</v>
      </c>
      <c r="Z1926">
        <v>0</v>
      </c>
      <c r="AA1926">
        <v>9</v>
      </c>
      <c r="AB1926">
        <v>3</v>
      </c>
      <c r="AC1926">
        <v>0</v>
      </c>
      <c r="AD1926">
        <v>10</v>
      </c>
      <c r="AE1926">
        <v>0</v>
      </c>
      <c r="AF1926">
        <v>3</v>
      </c>
      <c r="AG1926">
        <v>2</v>
      </c>
      <c r="AH1926">
        <v>1</v>
      </c>
      <c r="AI1926" t="s">
        <v>1019</v>
      </c>
      <c r="AJ1926">
        <v>35.852423000000002</v>
      </c>
      <c r="AK1926" t="s">
        <v>1020</v>
      </c>
      <c r="AL1926">
        <v>-83.985093000000006</v>
      </c>
      <c r="AM1926">
        <v>25</v>
      </c>
      <c r="AN1926">
        <v>1500</v>
      </c>
      <c r="AO1926" t="s">
        <v>118</v>
      </c>
      <c r="AP1926">
        <v>83</v>
      </c>
      <c r="AQ1926">
        <v>83</v>
      </c>
      <c r="AR1926">
        <v>-320</v>
      </c>
      <c r="AZ1926">
        <v>300</v>
      </c>
      <c r="BA1926">
        <v>1</v>
      </c>
      <c r="BB1926" t="str">
        <f t="shared" si="95"/>
        <v xml:space="preserve">N162AM  </v>
      </c>
      <c r="BC1926">
        <v>1</v>
      </c>
      <c r="BE1926">
        <v>0</v>
      </c>
      <c r="BF1926">
        <v>0</v>
      </c>
      <c r="BG1926">
        <v>0</v>
      </c>
      <c r="BH1926">
        <v>1775</v>
      </c>
      <c r="BI1926">
        <v>1</v>
      </c>
      <c r="BJ1926">
        <v>1</v>
      </c>
      <c r="BK1926">
        <v>1</v>
      </c>
      <c r="BL1926">
        <v>0</v>
      </c>
      <c r="BO1926">
        <v>0</v>
      </c>
      <c r="BP1926">
        <v>0</v>
      </c>
      <c r="BW1926" t="str">
        <f>"14:52:55.029"</f>
        <v>14:52:55.029</v>
      </c>
      <c r="CJ1926">
        <v>3</v>
      </c>
      <c r="CK1926">
        <v>2</v>
      </c>
      <c r="CL1926">
        <v>0</v>
      </c>
      <c r="CM1926">
        <v>2</v>
      </c>
      <c r="CN1926">
        <v>0</v>
      </c>
      <c r="CO1926">
        <v>6</v>
      </c>
      <c r="CP1926" t="s">
        <v>119</v>
      </c>
      <c r="CQ1926">
        <v>232</v>
      </c>
      <c r="CR1926">
        <v>2</v>
      </c>
      <c r="CW1926">
        <v>6973243</v>
      </c>
      <c r="CY1926">
        <v>1</v>
      </c>
      <c r="CZ1926">
        <v>0</v>
      </c>
      <c r="DA1926">
        <v>0</v>
      </c>
      <c r="DB1926">
        <v>0</v>
      </c>
      <c r="DC1926">
        <v>0</v>
      </c>
      <c r="DD1926">
        <v>1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>"12/16/2021 14:52:55.235"</f>
        <v>12/16/2021 14:52:55.235</v>
      </c>
      <c r="C1927" t="str">
        <f t="shared" si="94"/>
        <v>FFDFD3C0</v>
      </c>
      <c r="D1927" t="s">
        <v>113</v>
      </c>
      <c r="E1927">
        <v>8</v>
      </c>
      <c r="H1927">
        <v>176</v>
      </c>
      <c r="I1927" t="s">
        <v>114</v>
      </c>
      <c r="J1927" t="s">
        <v>115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>"14:52:55.023"</f>
        <v>14:52:55.023</v>
      </c>
      <c r="T1927" t="str">
        <f>"14:52:54.623"</f>
        <v>14:52:54.623</v>
      </c>
      <c r="U1927" t="str">
        <f t="shared" si="96"/>
        <v>A0F928</v>
      </c>
      <c r="V1927">
        <v>0</v>
      </c>
      <c r="W1927">
        <v>0</v>
      </c>
      <c r="X1927">
        <v>2</v>
      </c>
      <c r="Z1927">
        <v>0</v>
      </c>
      <c r="AA1927">
        <v>9</v>
      </c>
      <c r="AB1927">
        <v>3</v>
      </c>
      <c r="AC1927">
        <v>0</v>
      </c>
      <c r="AD1927">
        <v>10</v>
      </c>
      <c r="AE1927">
        <v>0</v>
      </c>
      <c r="AF1927">
        <v>3</v>
      </c>
      <c r="AG1927">
        <v>2</v>
      </c>
      <c r="AH1927">
        <v>1</v>
      </c>
      <c r="AI1927" t="s">
        <v>1019</v>
      </c>
      <c r="AJ1927">
        <v>35.852423000000002</v>
      </c>
      <c r="AK1927" t="s">
        <v>1020</v>
      </c>
      <c r="AL1927">
        <v>-83.985093000000006</v>
      </c>
      <c r="AM1927">
        <v>25</v>
      </c>
      <c r="AN1927">
        <v>1500</v>
      </c>
      <c r="AO1927" t="s">
        <v>118</v>
      </c>
      <c r="AP1927">
        <v>83</v>
      </c>
      <c r="AQ1927">
        <v>83</v>
      </c>
      <c r="AR1927">
        <v>-320</v>
      </c>
      <c r="AZ1927">
        <v>300</v>
      </c>
      <c r="BA1927">
        <v>1</v>
      </c>
      <c r="BB1927" t="str">
        <f t="shared" si="95"/>
        <v xml:space="preserve">N162AM  </v>
      </c>
      <c r="BC1927">
        <v>1</v>
      </c>
      <c r="BE1927">
        <v>0</v>
      </c>
      <c r="BF1927">
        <v>0</v>
      </c>
      <c r="BG1927">
        <v>0</v>
      </c>
      <c r="BH1927">
        <v>1775</v>
      </c>
      <c r="BI1927">
        <v>1</v>
      </c>
      <c r="BJ1927">
        <v>1</v>
      </c>
      <c r="BK1927">
        <v>1</v>
      </c>
      <c r="BL1927">
        <v>0</v>
      </c>
      <c r="BO1927">
        <v>0</v>
      </c>
      <c r="BP1927">
        <v>0</v>
      </c>
      <c r="BW1927" t="str">
        <f>"14:52:55.029"</f>
        <v>14:52:55.029</v>
      </c>
      <c r="CJ1927">
        <v>3</v>
      </c>
      <c r="CK1927">
        <v>2</v>
      </c>
      <c r="CL1927">
        <v>0</v>
      </c>
      <c r="CM1927">
        <v>2</v>
      </c>
      <c r="CN1927">
        <v>0</v>
      </c>
      <c r="CO1927">
        <v>6</v>
      </c>
      <c r="CP1927" t="s">
        <v>119</v>
      </c>
      <c r="CQ1927">
        <v>232</v>
      </c>
      <c r="CR1927">
        <v>2</v>
      </c>
      <c r="CW1927">
        <v>6973243</v>
      </c>
      <c r="CY1927">
        <v>1</v>
      </c>
      <c r="CZ1927">
        <v>0</v>
      </c>
      <c r="DA1927">
        <v>1</v>
      </c>
      <c r="DB1927">
        <v>0</v>
      </c>
      <c r="DC1927">
        <v>0</v>
      </c>
      <c r="DD1927">
        <v>1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>"12/16/2021 14:52:55.267"</f>
        <v>12/16/2021 14:52:55.267</v>
      </c>
      <c r="C1928" t="str">
        <f t="shared" si="94"/>
        <v>FFDFD3C0</v>
      </c>
      <c r="D1928" t="s">
        <v>124</v>
      </c>
      <c r="E1928">
        <v>5</v>
      </c>
      <c r="F1928">
        <v>1005</v>
      </c>
      <c r="G1928" t="s">
        <v>114</v>
      </c>
      <c r="J1928" t="s">
        <v>125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>"14:52:55.023"</f>
        <v>14:52:55.023</v>
      </c>
      <c r="T1928" t="str">
        <f>"14:52:54.623"</f>
        <v>14:52:54.623</v>
      </c>
      <c r="U1928" t="str">
        <f t="shared" si="96"/>
        <v>A0F928</v>
      </c>
      <c r="V1928">
        <v>0</v>
      </c>
      <c r="W1928">
        <v>0</v>
      </c>
      <c r="X1928">
        <v>2</v>
      </c>
      <c r="Z1928">
        <v>0</v>
      </c>
      <c r="AA1928">
        <v>9</v>
      </c>
      <c r="AB1928">
        <v>3</v>
      </c>
      <c r="AC1928">
        <v>0</v>
      </c>
      <c r="AD1928">
        <v>10</v>
      </c>
      <c r="AE1928">
        <v>0</v>
      </c>
      <c r="AF1928">
        <v>3</v>
      </c>
      <c r="AG1928">
        <v>2</v>
      </c>
      <c r="AH1928">
        <v>1</v>
      </c>
      <c r="AI1928" t="s">
        <v>1019</v>
      </c>
      <c r="AJ1928">
        <v>35.852423000000002</v>
      </c>
      <c r="AK1928" t="s">
        <v>1020</v>
      </c>
      <c r="AL1928">
        <v>-83.985093000000006</v>
      </c>
      <c r="AM1928">
        <v>25</v>
      </c>
      <c r="AN1928">
        <v>1500</v>
      </c>
      <c r="AO1928" t="s">
        <v>118</v>
      </c>
      <c r="AP1928">
        <v>83</v>
      </c>
      <c r="AQ1928">
        <v>83</v>
      </c>
      <c r="AR1928">
        <v>-320</v>
      </c>
      <c r="AZ1928">
        <v>300</v>
      </c>
      <c r="BA1928">
        <v>1</v>
      </c>
      <c r="BB1928" t="str">
        <f t="shared" si="95"/>
        <v xml:space="preserve">N162AM  </v>
      </c>
      <c r="BC1928">
        <v>1</v>
      </c>
      <c r="BE1928">
        <v>0</v>
      </c>
      <c r="BF1928">
        <v>0</v>
      </c>
      <c r="BG1928">
        <v>0</v>
      </c>
      <c r="BH1928">
        <v>1775</v>
      </c>
      <c r="BI1928">
        <v>1</v>
      </c>
      <c r="BJ1928">
        <v>1</v>
      </c>
      <c r="BK1928">
        <v>1</v>
      </c>
      <c r="BL1928">
        <v>0</v>
      </c>
      <c r="BO1928">
        <v>0</v>
      </c>
      <c r="BP1928">
        <v>0</v>
      </c>
      <c r="BW1928" t="str">
        <f>"14:52:55.029"</f>
        <v>14:52:55.029</v>
      </c>
      <c r="CJ1928">
        <v>3</v>
      </c>
      <c r="CK1928">
        <v>2</v>
      </c>
      <c r="CL1928">
        <v>0</v>
      </c>
      <c r="CM1928">
        <v>2</v>
      </c>
      <c r="CN1928">
        <v>0</v>
      </c>
      <c r="CO1928">
        <v>6</v>
      </c>
      <c r="CP1928" t="s">
        <v>119</v>
      </c>
      <c r="CQ1928">
        <v>232</v>
      </c>
      <c r="CR1928">
        <v>2</v>
      </c>
      <c r="CW1928">
        <v>6973243</v>
      </c>
      <c r="CY1928">
        <v>1</v>
      </c>
      <c r="CZ1928">
        <v>0</v>
      </c>
      <c r="DA1928">
        <v>1</v>
      </c>
      <c r="DB1928">
        <v>0</v>
      </c>
      <c r="DC1928">
        <v>0</v>
      </c>
      <c r="DD1928">
        <v>1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>"12/16/2021 14:52:55.267"</f>
        <v>12/16/2021 14:52:55.267</v>
      </c>
      <c r="C1929" t="str">
        <f t="shared" si="94"/>
        <v>FFDFD3C0</v>
      </c>
      <c r="D1929" t="s">
        <v>133</v>
      </c>
      <c r="E1929">
        <v>44</v>
      </c>
      <c r="H1929">
        <v>131</v>
      </c>
      <c r="I1929" t="s">
        <v>134</v>
      </c>
      <c r="J1929" t="s">
        <v>135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>"14:52:55.023"</f>
        <v>14:52:55.023</v>
      </c>
      <c r="T1929" t="str">
        <f>"14:52:54.623"</f>
        <v>14:52:54.623</v>
      </c>
      <c r="U1929" t="str">
        <f t="shared" si="96"/>
        <v>A0F928</v>
      </c>
      <c r="V1929">
        <v>0</v>
      </c>
      <c r="W1929">
        <v>0</v>
      </c>
      <c r="X1929">
        <v>2</v>
      </c>
      <c r="Z1929">
        <v>0</v>
      </c>
      <c r="AA1929">
        <v>9</v>
      </c>
      <c r="AB1929">
        <v>3</v>
      </c>
      <c r="AC1929">
        <v>0</v>
      </c>
      <c r="AD1929">
        <v>10</v>
      </c>
      <c r="AE1929">
        <v>0</v>
      </c>
      <c r="AF1929">
        <v>3</v>
      </c>
      <c r="AG1929">
        <v>2</v>
      </c>
      <c r="AH1929">
        <v>1</v>
      </c>
      <c r="AI1929" t="s">
        <v>1019</v>
      </c>
      <c r="AJ1929">
        <v>35.852423000000002</v>
      </c>
      <c r="AK1929" t="s">
        <v>1020</v>
      </c>
      <c r="AL1929">
        <v>-83.985093000000006</v>
      </c>
      <c r="AM1929">
        <v>25</v>
      </c>
      <c r="AN1929">
        <v>1500</v>
      </c>
      <c r="AO1929" t="s">
        <v>118</v>
      </c>
      <c r="AP1929">
        <v>83</v>
      </c>
      <c r="AQ1929">
        <v>83</v>
      </c>
      <c r="AR1929">
        <v>-320</v>
      </c>
      <c r="AZ1929">
        <v>300</v>
      </c>
      <c r="BA1929">
        <v>1</v>
      </c>
      <c r="BB1929" t="str">
        <f t="shared" si="95"/>
        <v xml:space="preserve">N162AM  </v>
      </c>
      <c r="BC1929">
        <v>1</v>
      </c>
      <c r="BE1929">
        <v>0</v>
      </c>
      <c r="BF1929">
        <v>0</v>
      </c>
      <c r="BG1929">
        <v>0</v>
      </c>
      <c r="BH1929">
        <v>1775</v>
      </c>
      <c r="BI1929">
        <v>1</v>
      </c>
      <c r="BJ1929">
        <v>1</v>
      </c>
      <c r="BK1929">
        <v>1</v>
      </c>
      <c r="BL1929">
        <v>0</v>
      </c>
      <c r="BO1929">
        <v>0</v>
      </c>
      <c r="BP1929">
        <v>0</v>
      </c>
      <c r="BW1929" t="str">
        <f>"14:52:55.029"</f>
        <v>14:52:55.029</v>
      </c>
      <c r="CJ1929">
        <v>3</v>
      </c>
      <c r="CK1929">
        <v>2</v>
      </c>
      <c r="CL1929">
        <v>0</v>
      </c>
      <c r="CM1929">
        <v>2</v>
      </c>
      <c r="CN1929">
        <v>0</v>
      </c>
      <c r="CO1929">
        <v>6</v>
      </c>
      <c r="CP1929" t="s">
        <v>119</v>
      </c>
      <c r="CQ1929">
        <v>232</v>
      </c>
      <c r="CR1929">
        <v>2</v>
      </c>
      <c r="CW1929">
        <v>6973243</v>
      </c>
      <c r="CY1929">
        <v>1</v>
      </c>
      <c r="CZ1929">
        <v>0</v>
      </c>
      <c r="DA1929">
        <v>1</v>
      </c>
      <c r="DB1929">
        <v>0</v>
      </c>
      <c r="DC1929">
        <v>0</v>
      </c>
      <c r="DD1929">
        <v>1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>"12/16/2021 14:52:56.298"</f>
        <v>12/16/2021 14:52:56.298</v>
      </c>
      <c r="C1930" t="str">
        <f t="shared" si="94"/>
        <v>FFDFD3C0</v>
      </c>
      <c r="D1930" t="s">
        <v>113</v>
      </c>
      <c r="E1930">
        <v>8</v>
      </c>
      <c r="H1930">
        <v>176</v>
      </c>
      <c r="I1930" t="s">
        <v>114</v>
      </c>
      <c r="J1930" t="s">
        <v>115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>"14:52:56.117"</f>
        <v>14:52:56.117</v>
      </c>
      <c r="T1930" t="str">
        <f>"14:52:55.617"</f>
        <v>14:52:55.617</v>
      </c>
      <c r="U1930" t="str">
        <f t="shared" si="96"/>
        <v>A0F928</v>
      </c>
      <c r="V1930">
        <v>0</v>
      </c>
      <c r="W1930">
        <v>0</v>
      </c>
      <c r="X1930">
        <v>2</v>
      </c>
      <c r="Z1930">
        <v>0</v>
      </c>
      <c r="AA1930">
        <v>9</v>
      </c>
      <c r="AB1930">
        <v>3</v>
      </c>
      <c r="AC1930">
        <v>0</v>
      </c>
      <c r="AD1930">
        <v>10</v>
      </c>
      <c r="AE1930">
        <v>0</v>
      </c>
      <c r="AF1930">
        <v>3</v>
      </c>
      <c r="AG1930">
        <v>2</v>
      </c>
      <c r="AH1930">
        <v>1</v>
      </c>
      <c r="AI1930" t="s">
        <v>1021</v>
      </c>
      <c r="AJ1930">
        <v>35.852851999999999</v>
      </c>
      <c r="AK1930" t="s">
        <v>1022</v>
      </c>
      <c r="AL1930">
        <v>-83.984577999999999</v>
      </c>
      <c r="AM1930">
        <v>25</v>
      </c>
      <c r="AN1930">
        <v>1500</v>
      </c>
      <c r="AO1930" t="s">
        <v>118</v>
      </c>
      <c r="AP1930">
        <v>83</v>
      </c>
      <c r="AQ1930">
        <v>82</v>
      </c>
      <c r="AR1930">
        <v>-320</v>
      </c>
      <c r="AZ1930">
        <v>300</v>
      </c>
      <c r="BA1930">
        <v>1</v>
      </c>
      <c r="BB1930" t="str">
        <f t="shared" si="95"/>
        <v xml:space="preserve">N162AM  </v>
      </c>
      <c r="BC1930">
        <v>1</v>
      </c>
      <c r="BE1930">
        <v>0</v>
      </c>
      <c r="BF1930">
        <v>0</v>
      </c>
      <c r="BG1930">
        <v>0</v>
      </c>
      <c r="BH1930">
        <v>1750</v>
      </c>
      <c r="BI1930">
        <v>1</v>
      </c>
      <c r="BJ1930">
        <v>1</v>
      </c>
      <c r="BK1930">
        <v>1</v>
      </c>
      <c r="BL1930">
        <v>0</v>
      </c>
      <c r="BO1930">
        <v>0</v>
      </c>
      <c r="BP1930">
        <v>0</v>
      </c>
      <c r="BW1930" t="str">
        <f>"14:52:56.122"</f>
        <v>14:52:56.122</v>
      </c>
      <c r="CJ1930">
        <v>3</v>
      </c>
      <c r="CK1930">
        <v>2</v>
      </c>
      <c r="CL1930">
        <v>0</v>
      </c>
      <c r="CM1930">
        <v>2</v>
      </c>
      <c r="CN1930">
        <v>0</v>
      </c>
      <c r="CO1930">
        <v>5</v>
      </c>
      <c r="CP1930" t="s">
        <v>119</v>
      </c>
      <c r="CQ1930">
        <v>232</v>
      </c>
      <c r="CR1930">
        <v>2</v>
      </c>
      <c r="CW1930">
        <v>6975025</v>
      </c>
      <c r="CY1930">
        <v>1</v>
      </c>
      <c r="CZ1930">
        <v>0</v>
      </c>
      <c r="DA1930">
        <v>0</v>
      </c>
      <c r="DB1930">
        <v>0</v>
      </c>
      <c r="DC1930">
        <v>0</v>
      </c>
      <c r="DD1930">
        <v>1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>"12/16/2021 14:52:56.314"</f>
        <v>12/16/2021 14:52:56.314</v>
      </c>
      <c r="C1931" t="str">
        <f t="shared" si="94"/>
        <v>FFDFD3C0</v>
      </c>
      <c r="D1931" t="s">
        <v>124</v>
      </c>
      <c r="E1931">
        <v>5</v>
      </c>
      <c r="F1931">
        <v>1005</v>
      </c>
      <c r="G1931" t="s">
        <v>114</v>
      </c>
      <c r="J1931" t="s">
        <v>125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"14:52:56.117"</f>
        <v>14:52:56.117</v>
      </c>
      <c r="T1931" t="str">
        <f>"14:52:55.617"</f>
        <v>14:52:55.617</v>
      </c>
      <c r="U1931" t="str">
        <f t="shared" si="96"/>
        <v>A0F928</v>
      </c>
      <c r="V1931">
        <v>0</v>
      </c>
      <c r="W1931">
        <v>0</v>
      </c>
      <c r="X1931">
        <v>2</v>
      </c>
      <c r="Z1931">
        <v>0</v>
      </c>
      <c r="AA1931">
        <v>9</v>
      </c>
      <c r="AB1931">
        <v>3</v>
      </c>
      <c r="AC1931">
        <v>0</v>
      </c>
      <c r="AD1931">
        <v>10</v>
      </c>
      <c r="AE1931">
        <v>0</v>
      </c>
      <c r="AF1931">
        <v>3</v>
      </c>
      <c r="AG1931">
        <v>2</v>
      </c>
      <c r="AH1931">
        <v>1</v>
      </c>
      <c r="AI1931" t="s">
        <v>1021</v>
      </c>
      <c r="AJ1931">
        <v>35.852851999999999</v>
      </c>
      <c r="AK1931" t="s">
        <v>1022</v>
      </c>
      <c r="AL1931">
        <v>-83.984577999999999</v>
      </c>
      <c r="AM1931">
        <v>25</v>
      </c>
      <c r="AN1931">
        <v>1500</v>
      </c>
      <c r="AO1931" t="s">
        <v>118</v>
      </c>
      <c r="AP1931">
        <v>83</v>
      </c>
      <c r="AQ1931">
        <v>82</v>
      </c>
      <c r="AR1931">
        <v>-320</v>
      </c>
      <c r="AZ1931">
        <v>300</v>
      </c>
      <c r="BA1931">
        <v>1</v>
      </c>
      <c r="BB1931" t="str">
        <f t="shared" si="95"/>
        <v xml:space="preserve">N162AM  </v>
      </c>
      <c r="BC1931">
        <v>1</v>
      </c>
      <c r="BE1931">
        <v>0</v>
      </c>
      <c r="BF1931">
        <v>0</v>
      </c>
      <c r="BG1931">
        <v>0</v>
      </c>
      <c r="BH1931">
        <v>1750</v>
      </c>
      <c r="BI1931">
        <v>1</v>
      </c>
      <c r="BJ1931">
        <v>1</v>
      </c>
      <c r="BK1931">
        <v>1</v>
      </c>
      <c r="BL1931">
        <v>0</v>
      </c>
      <c r="BO1931">
        <v>0</v>
      </c>
      <c r="BP1931">
        <v>0</v>
      </c>
      <c r="BW1931" t="str">
        <f>"14:52:56.122"</f>
        <v>14:52:56.122</v>
      </c>
      <c r="CJ1931">
        <v>3</v>
      </c>
      <c r="CK1931">
        <v>2</v>
      </c>
      <c r="CL1931">
        <v>0</v>
      </c>
      <c r="CM1931">
        <v>2</v>
      </c>
      <c r="CN1931">
        <v>0</v>
      </c>
      <c r="CO1931">
        <v>5</v>
      </c>
      <c r="CP1931" t="s">
        <v>119</v>
      </c>
      <c r="CQ1931">
        <v>232</v>
      </c>
      <c r="CR1931">
        <v>2</v>
      </c>
      <c r="CW1931">
        <v>6975025</v>
      </c>
      <c r="CY1931">
        <v>1</v>
      </c>
      <c r="CZ1931">
        <v>0</v>
      </c>
      <c r="DA1931">
        <v>1</v>
      </c>
      <c r="DB1931">
        <v>0</v>
      </c>
      <c r="DC1931">
        <v>0</v>
      </c>
      <c r="DD1931">
        <v>1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>"12/16/2021 14:52:56.360"</f>
        <v>12/16/2021 14:52:56.360</v>
      </c>
      <c r="C1932" t="str">
        <f t="shared" si="94"/>
        <v>FFDFD3C0</v>
      </c>
      <c r="D1932" t="s">
        <v>133</v>
      </c>
      <c r="E1932">
        <v>44</v>
      </c>
      <c r="H1932">
        <v>131</v>
      </c>
      <c r="I1932" t="s">
        <v>134</v>
      </c>
      <c r="J1932" t="s">
        <v>135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"14:52:56.117"</f>
        <v>14:52:56.117</v>
      </c>
      <c r="T1932" t="str">
        <f>"14:52:55.617"</f>
        <v>14:52:55.617</v>
      </c>
      <c r="U1932" t="str">
        <f t="shared" si="96"/>
        <v>A0F928</v>
      </c>
      <c r="V1932">
        <v>0</v>
      </c>
      <c r="W1932">
        <v>0</v>
      </c>
      <c r="X1932">
        <v>2</v>
      </c>
      <c r="Z1932">
        <v>0</v>
      </c>
      <c r="AA1932">
        <v>9</v>
      </c>
      <c r="AB1932">
        <v>3</v>
      </c>
      <c r="AC1932">
        <v>0</v>
      </c>
      <c r="AD1932">
        <v>10</v>
      </c>
      <c r="AE1932">
        <v>0</v>
      </c>
      <c r="AF1932">
        <v>3</v>
      </c>
      <c r="AG1932">
        <v>2</v>
      </c>
      <c r="AH1932">
        <v>1</v>
      </c>
      <c r="AI1932" t="s">
        <v>1021</v>
      </c>
      <c r="AJ1932">
        <v>35.852851999999999</v>
      </c>
      <c r="AK1932" t="s">
        <v>1022</v>
      </c>
      <c r="AL1932">
        <v>-83.984577999999999</v>
      </c>
      <c r="AM1932">
        <v>25</v>
      </c>
      <c r="AN1932">
        <v>1500</v>
      </c>
      <c r="AO1932" t="s">
        <v>118</v>
      </c>
      <c r="AP1932">
        <v>83</v>
      </c>
      <c r="AQ1932">
        <v>82</v>
      </c>
      <c r="AR1932">
        <v>-320</v>
      </c>
      <c r="AZ1932">
        <v>300</v>
      </c>
      <c r="BA1932">
        <v>1</v>
      </c>
      <c r="BB1932" t="str">
        <f t="shared" si="95"/>
        <v xml:space="preserve">N162AM  </v>
      </c>
      <c r="BC1932">
        <v>1</v>
      </c>
      <c r="BE1932">
        <v>0</v>
      </c>
      <c r="BF1932">
        <v>0</v>
      </c>
      <c r="BG1932">
        <v>0</v>
      </c>
      <c r="BH1932">
        <v>1750</v>
      </c>
      <c r="BI1932">
        <v>1</v>
      </c>
      <c r="BJ1932">
        <v>1</v>
      </c>
      <c r="BK1932">
        <v>1</v>
      </c>
      <c r="BL1932">
        <v>0</v>
      </c>
      <c r="BO1932">
        <v>0</v>
      </c>
      <c r="BP1932">
        <v>0</v>
      </c>
      <c r="BW1932" t="str">
        <f>"14:52:56.122"</f>
        <v>14:52:56.122</v>
      </c>
      <c r="CJ1932">
        <v>3</v>
      </c>
      <c r="CK1932">
        <v>2</v>
      </c>
      <c r="CL1932">
        <v>0</v>
      </c>
      <c r="CM1932">
        <v>2</v>
      </c>
      <c r="CN1932">
        <v>0</v>
      </c>
      <c r="CO1932">
        <v>5</v>
      </c>
      <c r="CP1932" t="s">
        <v>119</v>
      </c>
      <c r="CQ1932">
        <v>232</v>
      </c>
      <c r="CR1932">
        <v>2</v>
      </c>
      <c r="CW1932">
        <v>6975025</v>
      </c>
      <c r="CY1932">
        <v>1</v>
      </c>
      <c r="CZ1932">
        <v>0</v>
      </c>
      <c r="DA1932">
        <v>1</v>
      </c>
      <c r="DB1932">
        <v>0</v>
      </c>
      <c r="DC1932">
        <v>0</v>
      </c>
      <c r="DD1932">
        <v>1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>"12/16/2021 14:52:56.360"</f>
        <v>12/16/2021 14:52:56.360</v>
      </c>
      <c r="C1933" t="str">
        <f t="shared" si="94"/>
        <v>FFDFD3C0</v>
      </c>
      <c r="D1933" t="s">
        <v>124</v>
      </c>
      <c r="E1933">
        <v>10</v>
      </c>
      <c r="F1933">
        <v>1010</v>
      </c>
      <c r="G1933" t="s">
        <v>130</v>
      </c>
      <c r="J1933" t="s">
        <v>125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>"14:52:56.117"</f>
        <v>14:52:56.117</v>
      </c>
      <c r="T1933" t="str">
        <f>"14:52:55.617"</f>
        <v>14:52:55.617</v>
      </c>
      <c r="U1933" t="str">
        <f t="shared" si="96"/>
        <v>A0F928</v>
      </c>
      <c r="V1933">
        <v>0</v>
      </c>
      <c r="W1933">
        <v>0</v>
      </c>
      <c r="X1933">
        <v>2</v>
      </c>
      <c r="Z1933">
        <v>0</v>
      </c>
      <c r="AA1933">
        <v>9</v>
      </c>
      <c r="AB1933">
        <v>3</v>
      </c>
      <c r="AC1933">
        <v>0</v>
      </c>
      <c r="AD1933">
        <v>10</v>
      </c>
      <c r="AE1933">
        <v>0</v>
      </c>
      <c r="AF1933">
        <v>3</v>
      </c>
      <c r="AG1933">
        <v>2</v>
      </c>
      <c r="AH1933">
        <v>1</v>
      </c>
      <c r="AI1933" t="s">
        <v>1021</v>
      </c>
      <c r="AJ1933">
        <v>35.852851999999999</v>
      </c>
      <c r="AK1933" t="s">
        <v>1022</v>
      </c>
      <c r="AL1933">
        <v>-83.984577999999999</v>
      </c>
      <c r="AM1933">
        <v>25</v>
      </c>
      <c r="AN1933">
        <v>1500</v>
      </c>
      <c r="AO1933" t="s">
        <v>118</v>
      </c>
      <c r="AP1933">
        <v>83</v>
      </c>
      <c r="AQ1933">
        <v>82</v>
      </c>
      <c r="AR1933">
        <v>-320</v>
      </c>
      <c r="AZ1933">
        <v>300</v>
      </c>
      <c r="BA1933">
        <v>1</v>
      </c>
      <c r="BB1933" t="str">
        <f t="shared" si="95"/>
        <v xml:space="preserve">N162AM  </v>
      </c>
      <c r="BC1933">
        <v>1</v>
      </c>
      <c r="BE1933">
        <v>0</v>
      </c>
      <c r="BF1933">
        <v>0</v>
      </c>
      <c r="BG1933">
        <v>0</v>
      </c>
      <c r="BH1933">
        <v>1750</v>
      </c>
      <c r="BI1933">
        <v>1</v>
      </c>
      <c r="BJ1933">
        <v>1</v>
      </c>
      <c r="BK1933">
        <v>1</v>
      </c>
      <c r="BL1933">
        <v>0</v>
      </c>
      <c r="BO1933">
        <v>0</v>
      </c>
      <c r="BP1933">
        <v>0</v>
      </c>
      <c r="BW1933" t="str">
        <f>"14:52:56.122"</f>
        <v>14:52:56.122</v>
      </c>
      <c r="CJ1933">
        <v>3</v>
      </c>
      <c r="CK1933">
        <v>2</v>
      </c>
      <c r="CL1933">
        <v>0</v>
      </c>
      <c r="CM1933">
        <v>2</v>
      </c>
      <c r="CN1933">
        <v>0</v>
      </c>
      <c r="CO1933">
        <v>5</v>
      </c>
      <c r="CP1933" t="s">
        <v>119</v>
      </c>
      <c r="CQ1933">
        <v>232</v>
      </c>
      <c r="CR1933">
        <v>2</v>
      </c>
      <c r="CW1933">
        <v>6975025</v>
      </c>
      <c r="CY1933">
        <v>1</v>
      </c>
      <c r="CZ1933">
        <v>0</v>
      </c>
      <c r="DA1933">
        <v>1</v>
      </c>
      <c r="DB1933">
        <v>0</v>
      </c>
      <c r="DC1933">
        <v>0</v>
      </c>
      <c r="DD1933">
        <v>1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>"12/16/2021 14:52:57.907"</f>
        <v>12/16/2021 14:52:57.907</v>
      </c>
      <c r="C1934" t="str">
        <f t="shared" si="94"/>
        <v>FFDFD3C0</v>
      </c>
      <c r="D1934" t="s">
        <v>124</v>
      </c>
      <c r="E1934">
        <v>10</v>
      </c>
      <c r="F1934">
        <v>1010</v>
      </c>
      <c r="G1934" t="s">
        <v>130</v>
      </c>
      <c r="J1934" t="s">
        <v>125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>"14:52:57.680"</f>
        <v>14:52:57.680</v>
      </c>
      <c r="T1934" t="str">
        <f>"14:52:57.180"</f>
        <v>14:52:57.180</v>
      </c>
      <c r="U1934" t="str">
        <f t="shared" si="96"/>
        <v>A0F928</v>
      </c>
      <c r="V1934">
        <v>0</v>
      </c>
      <c r="W1934">
        <v>0</v>
      </c>
      <c r="X1934">
        <v>2</v>
      </c>
      <c r="Z1934">
        <v>0</v>
      </c>
      <c r="AA1934">
        <v>9</v>
      </c>
      <c r="AB1934">
        <v>3</v>
      </c>
      <c r="AC1934">
        <v>0</v>
      </c>
      <c r="AD1934">
        <v>10</v>
      </c>
      <c r="AE1934">
        <v>0</v>
      </c>
      <c r="AF1934">
        <v>3</v>
      </c>
      <c r="AG1934">
        <v>2</v>
      </c>
      <c r="AH1934">
        <v>1</v>
      </c>
      <c r="AI1934" t="s">
        <v>1023</v>
      </c>
      <c r="AJ1934">
        <v>35.853453000000002</v>
      </c>
      <c r="AK1934" t="s">
        <v>1024</v>
      </c>
      <c r="AL1934">
        <v>-83.983827000000005</v>
      </c>
      <c r="AM1934">
        <v>25</v>
      </c>
      <c r="AN1934">
        <v>1500</v>
      </c>
      <c r="AO1934" t="s">
        <v>118</v>
      </c>
      <c r="AP1934">
        <v>83</v>
      </c>
      <c r="AQ1934">
        <v>82</v>
      </c>
      <c r="AR1934">
        <v>-384</v>
      </c>
      <c r="AZ1934">
        <v>300</v>
      </c>
      <c r="BA1934">
        <v>1</v>
      </c>
      <c r="BB1934" t="str">
        <f t="shared" si="95"/>
        <v xml:space="preserve">N162AM  </v>
      </c>
      <c r="BC1934">
        <v>1</v>
      </c>
      <c r="BE1934">
        <v>0</v>
      </c>
      <c r="BF1934">
        <v>0</v>
      </c>
      <c r="BG1934">
        <v>0</v>
      </c>
      <c r="BH1934">
        <v>1750</v>
      </c>
      <c r="BI1934">
        <v>1</v>
      </c>
      <c r="BJ1934">
        <v>1</v>
      </c>
      <c r="BK1934">
        <v>1</v>
      </c>
      <c r="BL1934">
        <v>0</v>
      </c>
      <c r="BO1934">
        <v>0</v>
      </c>
      <c r="BP1934">
        <v>0</v>
      </c>
      <c r="BW1934" t="str">
        <f>"14:52:57.687"</f>
        <v>14:52:57.687</v>
      </c>
      <c r="CJ1934">
        <v>3</v>
      </c>
      <c r="CK1934">
        <v>2</v>
      </c>
      <c r="CL1934">
        <v>0</v>
      </c>
      <c r="CM1934">
        <v>2</v>
      </c>
      <c r="CN1934">
        <v>0</v>
      </c>
      <c r="CO1934">
        <v>6</v>
      </c>
      <c r="CP1934" t="s">
        <v>119</v>
      </c>
      <c r="CQ1934">
        <v>232</v>
      </c>
      <c r="CR1934">
        <v>2</v>
      </c>
      <c r="CW1934">
        <v>6977400</v>
      </c>
      <c r="CY1934">
        <v>1</v>
      </c>
      <c r="CZ1934">
        <v>0</v>
      </c>
      <c r="DA1934">
        <v>0</v>
      </c>
      <c r="DB1934">
        <v>0</v>
      </c>
      <c r="DC1934">
        <v>0</v>
      </c>
      <c r="DD1934">
        <v>1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>"12/16/2021 14:52:57.907"</f>
        <v>12/16/2021 14:52:57.907</v>
      </c>
      <c r="C1935" t="str">
        <f t="shared" si="94"/>
        <v>FFDFD3C0</v>
      </c>
      <c r="D1935" t="s">
        <v>133</v>
      </c>
      <c r="E1935">
        <v>44</v>
      </c>
      <c r="H1935">
        <v>131</v>
      </c>
      <c r="I1935" t="s">
        <v>134</v>
      </c>
      <c r="J1935" t="s">
        <v>135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>"14:52:57.680"</f>
        <v>14:52:57.680</v>
      </c>
      <c r="T1935" t="str">
        <f>"14:52:57.180"</f>
        <v>14:52:57.180</v>
      </c>
      <c r="U1935" t="str">
        <f t="shared" si="96"/>
        <v>A0F928</v>
      </c>
      <c r="V1935">
        <v>0</v>
      </c>
      <c r="W1935">
        <v>0</v>
      </c>
      <c r="X1935">
        <v>2</v>
      </c>
      <c r="Z1935">
        <v>0</v>
      </c>
      <c r="AA1935">
        <v>9</v>
      </c>
      <c r="AB1935">
        <v>3</v>
      </c>
      <c r="AC1935">
        <v>0</v>
      </c>
      <c r="AD1935">
        <v>10</v>
      </c>
      <c r="AE1935">
        <v>0</v>
      </c>
      <c r="AF1935">
        <v>3</v>
      </c>
      <c r="AG1935">
        <v>2</v>
      </c>
      <c r="AH1935">
        <v>1</v>
      </c>
      <c r="AI1935" t="s">
        <v>1023</v>
      </c>
      <c r="AJ1935">
        <v>35.853453000000002</v>
      </c>
      <c r="AK1935" t="s">
        <v>1024</v>
      </c>
      <c r="AL1935">
        <v>-83.983827000000005</v>
      </c>
      <c r="AM1935">
        <v>25</v>
      </c>
      <c r="AN1935">
        <v>1500</v>
      </c>
      <c r="AO1935" t="s">
        <v>118</v>
      </c>
      <c r="AP1935">
        <v>83</v>
      </c>
      <c r="AQ1935">
        <v>82</v>
      </c>
      <c r="AR1935">
        <v>-384</v>
      </c>
      <c r="AZ1935">
        <v>300</v>
      </c>
      <c r="BA1935">
        <v>1</v>
      </c>
      <c r="BB1935" t="str">
        <f t="shared" si="95"/>
        <v xml:space="preserve">N162AM  </v>
      </c>
      <c r="BC1935">
        <v>1</v>
      </c>
      <c r="BE1935">
        <v>0</v>
      </c>
      <c r="BF1935">
        <v>0</v>
      </c>
      <c r="BG1935">
        <v>0</v>
      </c>
      <c r="BH1935">
        <v>1750</v>
      </c>
      <c r="BI1935">
        <v>1</v>
      </c>
      <c r="BJ1935">
        <v>1</v>
      </c>
      <c r="BK1935">
        <v>1</v>
      </c>
      <c r="BL1935">
        <v>0</v>
      </c>
      <c r="BO1935">
        <v>0</v>
      </c>
      <c r="BP1935">
        <v>0</v>
      </c>
      <c r="BW1935" t="str">
        <f>"14:52:57.687"</f>
        <v>14:52:57.687</v>
      </c>
      <c r="CJ1935">
        <v>3</v>
      </c>
      <c r="CK1935">
        <v>2</v>
      </c>
      <c r="CL1935">
        <v>0</v>
      </c>
      <c r="CM1935">
        <v>2</v>
      </c>
      <c r="CN1935">
        <v>0</v>
      </c>
      <c r="CO1935">
        <v>6</v>
      </c>
      <c r="CP1935" t="s">
        <v>119</v>
      </c>
      <c r="CQ1935">
        <v>232</v>
      </c>
      <c r="CR1935">
        <v>2</v>
      </c>
      <c r="CW1935">
        <v>6977400</v>
      </c>
      <c r="CY1935">
        <v>1</v>
      </c>
      <c r="CZ1935">
        <v>0</v>
      </c>
      <c r="DA1935">
        <v>1</v>
      </c>
      <c r="DB1935">
        <v>0</v>
      </c>
      <c r="DC1935">
        <v>0</v>
      </c>
      <c r="DD1935">
        <v>1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>"12/16/2021 14:52:57.939"</f>
        <v>12/16/2021 14:52:57.939</v>
      </c>
      <c r="C1936" t="str">
        <f t="shared" si="94"/>
        <v>FFDFD3C0</v>
      </c>
      <c r="D1936" t="s">
        <v>113</v>
      </c>
      <c r="E1936">
        <v>8</v>
      </c>
      <c r="H1936">
        <v>176</v>
      </c>
      <c r="I1936" t="s">
        <v>114</v>
      </c>
      <c r="J1936" t="s">
        <v>115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>"14:52:57.680"</f>
        <v>14:52:57.680</v>
      </c>
      <c r="T1936" t="str">
        <f>"14:52:57.180"</f>
        <v>14:52:57.180</v>
      </c>
      <c r="U1936" t="str">
        <f t="shared" si="96"/>
        <v>A0F928</v>
      </c>
      <c r="V1936">
        <v>0</v>
      </c>
      <c r="W1936">
        <v>0</v>
      </c>
      <c r="X1936">
        <v>2</v>
      </c>
      <c r="Z1936">
        <v>0</v>
      </c>
      <c r="AA1936">
        <v>9</v>
      </c>
      <c r="AB1936">
        <v>3</v>
      </c>
      <c r="AC1936">
        <v>0</v>
      </c>
      <c r="AD1936">
        <v>10</v>
      </c>
      <c r="AE1936">
        <v>0</v>
      </c>
      <c r="AF1936">
        <v>3</v>
      </c>
      <c r="AG1936">
        <v>2</v>
      </c>
      <c r="AH1936">
        <v>1</v>
      </c>
      <c r="AI1936" t="s">
        <v>1023</v>
      </c>
      <c r="AJ1936">
        <v>35.853453000000002</v>
      </c>
      <c r="AK1936" t="s">
        <v>1024</v>
      </c>
      <c r="AL1936">
        <v>-83.983827000000005</v>
      </c>
      <c r="AM1936">
        <v>25</v>
      </c>
      <c r="AN1936">
        <v>1500</v>
      </c>
      <c r="AO1936" t="s">
        <v>118</v>
      </c>
      <c r="AP1936">
        <v>83</v>
      </c>
      <c r="AQ1936">
        <v>82</v>
      </c>
      <c r="AR1936">
        <v>-384</v>
      </c>
      <c r="AZ1936">
        <v>300</v>
      </c>
      <c r="BA1936">
        <v>1</v>
      </c>
      <c r="BB1936" t="str">
        <f t="shared" si="95"/>
        <v xml:space="preserve">N162AM  </v>
      </c>
      <c r="BC1936">
        <v>1</v>
      </c>
      <c r="BE1936">
        <v>0</v>
      </c>
      <c r="BF1936">
        <v>0</v>
      </c>
      <c r="BG1936">
        <v>0</v>
      </c>
      <c r="BH1936">
        <v>1750</v>
      </c>
      <c r="BI1936">
        <v>1</v>
      </c>
      <c r="BJ1936">
        <v>1</v>
      </c>
      <c r="BK1936">
        <v>1</v>
      </c>
      <c r="BL1936">
        <v>0</v>
      </c>
      <c r="BO1936">
        <v>0</v>
      </c>
      <c r="BP1936">
        <v>0</v>
      </c>
      <c r="BW1936" t="str">
        <f>"14:52:57.687"</f>
        <v>14:52:57.687</v>
      </c>
      <c r="CJ1936">
        <v>3</v>
      </c>
      <c r="CK1936">
        <v>2</v>
      </c>
      <c r="CL1936">
        <v>0</v>
      </c>
      <c r="CM1936">
        <v>2</v>
      </c>
      <c r="CN1936">
        <v>0</v>
      </c>
      <c r="CO1936">
        <v>6</v>
      </c>
      <c r="CP1936" t="s">
        <v>119</v>
      </c>
      <c r="CQ1936">
        <v>232</v>
      </c>
      <c r="CR1936">
        <v>2</v>
      </c>
      <c r="CW1936">
        <v>6977400</v>
      </c>
      <c r="CY1936">
        <v>1</v>
      </c>
      <c r="CZ1936">
        <v>0</v>
      </c>
      <c r="DA1936">
        <v>1</v>
      </c>
      <c r="DB1936">
        <v>0</v>
      </c>
      <c r="DC1936">
        <v>0</v>
      </c>
      <c r="DD1936">
        <v>1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>"12/16/2021 14:52:57.939"</f>
        <v>12/16/2021 14:52:57.939</v>
      </c>
      <c r="C1937" t="str">
        <f t="shared" si="94"/>
        <v>FFDFD3C0</v>
      </c>
      <c r="D1937" t="s">
        <v>124</v>
      </c>
      <c r="E1937">
        <v>5</v>
      </c>
      <c r="F1937">
        <v>1005</v>
      </c>
      <c r="G1937" t="s">
        <v>114</v>
      </c>
      <c r="J1937" t="s">
        <v>125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>"14:52:57.680"</f>
        <v>14:52:57.680</v>
      </c>
      <c r="T1937" t="str">
        <f>"14:52:57.180"</f>
        <v>14:52:57.180</v>
      </c>
      <c r="U1937" t="str">
        <f t="shared" si="96"/>
        <v>A0F928</v>
      </c>
      <c r="V1937">
        <v>0</v>
      </c>
      <c r="W1937">
        <v>0</v>
      </c>
      <c r="X1937">
        <v>2</v>
      </c>
      <c r="Z1937">
        <v>0</v>
      </c>
      <c r="AA1937">
        <v>9</v>
      </c>
      <c r="AB1937">
        <v>3</v>
      </c>
      <c r="AC1937">
        <v>0</v>
      </c>
      <c r="AD1937">
        <v>10</v>
      </c>
      <c r="AE1937">
        <v>0</v>
      </c>
      <c r="AF1937">
        <v>3</v>
      </c>
      <c r="AG1937">
        <v>2</v>
      </c>
      <c r="AH1937">
        <v>1</v>
      </c>
      <c r="AI1937" t="s">
        <v>1023</v>
      </c>
      <c r="AJ1937">
        <v>35.853453000000002</v>
      </c>
      <c r="AK1937" t="s">
        <v>1024</v>
      </c>
      <c r="AL1937">
        <v>-83.983827000000005</v>
      </c>
      <c r="AM1937">
        <v>25</v>
      </c>
      <c r="AN1937">
        <v>1500</v>
      </c>
      <c r="AO1937" t="s">
        <v>118</v>
      </c>
      <c r="AP1937">
        <v>83</v>
      </c>
      <c r="AQ1937">
        <v>82</v>
      </c>
      <c r="AR1937">
        <v>-384</v>
      </c>
      <c r="AZ1937">
        <v>300</v>
      </c>
      <c r="BA1937">
        <v>1</v>
      </c>
      <c r="BB1937" t="str">
        <f t="shared" si="95"/>
        <v xml:space="preserve">N162AM  </v>
      </c>
      <c r="BC1937">
        <v>1</v>
      </c>
      <c r="BE1937">
        <v>0</v>
      </c>
      <c r="BF1937">
        <v>0</v>
      </c>
      <c r="BG1937">
        <v>0</v>
      </c>
      <c r="BH1937">
        <v>1750</v>
      </c>
      <c r="BI1937">
        <v>1</v>
      </c>
      <c r="BJ1937">
        <v>1</v>
      </c>
      <c r="BK1937">
        <v>1</v>
      </c>
      <c r="BL1937">
        <v>0</v>
      </c>
      <c r="BO1937">
        <v>0</v>
      </c>
      <c r="BP1937">
        <v>0</v>
      </c>
      <c r="BW1937" t="str">
        <f>"14:52:57.687"</f>
        <v>14:52:57.687</v>
      </c>
      <c r="CJ1937">
        <v>3</v>
      </c>
      <c r="CK1937">
        <v>2</v>
      </c>
      <c r="CL1937">
        <v>0</v>
      </c>
      <c r="CM1937">
        <v>2</v>
      </c>
      <c r="CN1937">
        <v>0</v>
      </c>
      <c r="CO1937">
        <v>6</v>
      </c>
      <c r="CP1937" t="s">
        <v>119</v>
      </c>
      <c r="CQ1937">
        <v>232</v>
      </c>
      <c r="CR1937">
        <v>2</v>
      </c>
      <c r="CW1937">
        <v>6977400</v>
      </c>
      <c r="CY1937">
        <v>1</v>
      </c>
      <c r="CZ1937">
        <v>0</v>
      </c>
      <c r="DA1937">
        <v>1</v>
      </c>
      <c r="DB1937">
        <v>0</v>
      </c>
      <c r="DC1937">
        <v>0</v>
      </c>
      <c r="DD1937">
        <v>1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>"12/16/2021 14:52:58.829"</f>
        <v>12/16/2021 14:52:58.829</v>
      </c>
      <c r="C1938" t="str">
        <f t="shared" si="94"/>
        <v>FFDFD3C0</v>
      </c>
      <c r="D1938" t="s">
        <v>133</v>
      </c>
      <c r="E1938">
        <v>44</v>
      </c>
      <c r="H1938">
        <v>131</v>
      </c>
      <c r="I1938" t="s">
        <v>134</v>
      </c>
      <c r="J1938" t="s">
        <v>135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>"14:52:58.633"</f>
        <v>14:52:58.633</v>
      </c>
      <c r="T1938" t="str">
        <f>"14:52:58.233"</f>
        <v>14:52:58.233</v>
      </c>
      <c r="U1938" t="str">
        <f t="shared" si="96"/>
        <v>A0F928</v>
      </c>
      <c r="V1938">
        <v>0</v>
      </c>
      <c r="W1938">
        <v>0</v>
      </c>
      <c r="X1938">
        <v>2</v>
      </c>
      <c r="Z1938">
        <v>0</v>
      </c>
      <c r="AA1938">
        <v>9</v>
      </c>
      <c r="AB1938">
        <v>3</v>
      </c>
      <c r="AC1938">
        <v>0</v>
      </c>
      <c r="AD1938">
        <v>10</v>
      </c>
      <c r="AE1938">
        <v>0</v>
      </c>
      <c r="AF1938">
        <v>3</v>
      </c>
      <c r="AG1938">
        <v>2</v>
      </c>
      <c r="AH1938">
        <v>1</v>
      </c>
      <c r="AI1938" t="s">
        <v>1025</v>
      </c>
      <c r="AJ1938">
        <v>35.853796000000003</v>
      </c>
      <c r="AK1938" t="s">
        <v>1026</v>
      </c>
      <c r="AL1938">
        <v>-83.983376000000007</v>
      </c>
      <c r="AM1938">
        <v>25</v>
      </c>
      <c r="AN1938">
        <v>1475</v>
      </c>
      <c r="AO1938" t="s">
        <v>118</v>
      </c>
      <c r="AP1938">
        <v>82</v>
      </c>
      <c r="AQ1938">
        <v>81</v>
      </c>
      <c r="AR1938">
        <v>-320</v>
      </c>
      <c r="AZ1938">
        <v>300</v>
      </c>
      <c r="BA1938">
        <v>1</v>
      </c>
      <c r="BB1938" t="str">
        <f t="shared" si="95"/>
        <v xml:space="preserve">N162AM  </v>
      </c>
      <c r="BC1938">
        <v>1</v>
      </c>
      <c r="BE1938">
        <v>0</v>
      </c>
      <c r="BF1938">
        <v>0</v>
      </c>
      <c r="BG1938">
        <v>0</v>
      </c>
      <c r="BH1938">
        <v>1750</v>
      </c>
      <c r="BI1938">
        <v>1</v>
      </c>
      <c r="BJ1938">
        <v>1</v>
      </c>
      <c r="BK1938">
        <v>1</v>
      </c>
      <c r="BL1938">
        <v>0</v>
      </c>
      <c r="BO1938">
        <v>0</v>
      </c>
      <c r="BP1938">
        <v>0</v>
      </c>
      <c r="BW1938" t="str">
        <f>"14:52:58.634"</f>
        <v>14:52:58.634</v>
      </c>
      <c r="CJ1938">
        <v>3</v>
      </c>
      <c r="CK1938">
        <v>2</v>
      </c>
      <c r="CL1938">
        <v>0</v>
      </c>
      <c r="CM1938">
        <v>2</v>
      </c>
      <c r="CN1938">
        <v>0</v>
      </c>
      <c r="CO1938">
        <v>5</v>
      </c>
      <c r="CP1938" t="s">
        <v>119</v>
      </c>
      <c r="CQ1938">
        <v>232</v>
      </c>
      <c r="CR1938">
        <v>1</v>
      </c>
      <c r="CW1938">
        <v>15764369</v>
      </c>
      <c r="CY1938">
        <v>1</v>
      </c>
      <c r="CZ1938">
        <v>0</v>
      </c>
      <c r="DA1938">
        <v>0</v>
      </c>
      <c r="DB1938">
        <v>0</v>
      </c>
      <c r="DC1938">
        <v>0</v>
      </c>
      <c r="DD1938">
        <v>1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>"12/16/2021 14:52:58.829"</f>
        <v>12/16/2021 14:52:58.829</v>
      </c>
      <c r="C1939" t="str">
        <f t="shared" si="94"/>
        <v>FFDFD3C0</v>
      </c>
      <c r="D1939" t="s">
        <v>113</v>
      </c>
      <c r="E1939">
        <v>8</v>
      </c>
      <c r="H1939">
        <v>176</v>
      </c>
      <c r="I1939" t="s">
        <v>114</v>
      </c>
      <c r="J1939" t="s">
        <v>115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>"14:52:58.633"</f>
        <v>14:52:58.633</v>
      </c>
      <c r="T1939" t="str">
        <f>"14:52:58.233"</f>
        <v>14:52:58.233</v>
      </c>
      <c r="U1939" t="str">
        <f t="shared" si="96"/>
        <v>A0F928</v>
      </c>
      <c r="V1939">
        <v>0</v>
      </c>
      <c r="W1939">
        <v>0</v>
      </c>
      <c r="X1939">
        <v>2</v>
      </c>
      <c r="Z1939">
        <v>0</v>
      </c>
      <c r="AA1939">
        <v>9</v>
      </c>
      <c r="AB1939">
        <v>3</v>
      </c>
      <c r="AC1939">
        <v>0</v>
      </c>
      <c r="AD1939">
        <v>10</v>
      </c>
      <c r="AE1939">
        <v>0</v>
      </c>
      <c r="AF1939">
        <v>3</v>
      </c>
      <c r="AG1939">
        <v>2</v>
      </c>
      <c r="AH1939">
        <v>1</v>
      </c>
      <c r="AI1939" t="s">
        <v>1025</v>
      </c>
      <c r="AJ1939">
        <v>35.853796000000003</v>
      </c>
      <c r="AK1939" t="s">
        <v>1026</v>
      </c>
      <c r="AL1939">
        <v>-83.983376000000007</v>
      </c>
      <c r="AM1939">
        <v>25</v>
      </c>
      <c r="AN1939">
        <v>1475</v>
      </c>
      <c r="AO1939" t="s">
        <v>118</v>
      </c>
      <c r="AP1939">
        <v>82</v>
      </c>
      <c r="AQ1939">
        <v>81</v>
      </c>
      <c r="AR1939">
        <v>-320</v>
      </c>
      <c r="AZ1939">
        <v>300</v>
      </c>
      <c r="BA1939">
        <v>1</v>
      </c>
      <c r="BB1939" t="str">
        <f t="shared" si="95"/>
        <v xml:space="preserve">N162AM  </v>
      </c>
      <c r="BC1939">
        <v>1</v>
      </c>
      <c r="BE1939">
        <v>0</v>
      </c>
      <c r="BF1939">
        <v>0</v>
      </c>
      <c r="BG1939">
        <v>0</v>
      </c>
      <c r="BH1939">
        <v>1750</v>
      </c>
      <c r="BI1939">
        <v>1</v>
      </c>
      <c r="BJ1939">
        <v>1</v>
      </c>
      <c r="BK1939">
        <v>1</v>
      </c>
      <c r="BL1939">
        <v>0</v>
      </c>
      <c r="BO1939">
        <v>0</v>
      </c>
      <c r="BP1939">
        <v>0</v>
      </c>
      <c r="BW1939" t="str">
        <f>"14:52:58.634"</f>
        <v>14:52:58.634</v>
      </c>
      <c r="CJ1939">
        <v>3</v>
      </c>
      <c r="CK1939">
        <v>2</v>
      </c>
      <c r="CL1939">
        <v>0</v>
      </c>
      <c r="CM1939">
        <v>2</v>
      </c>
      <c r="CN1939">
        <v>0</v>
      </c>
      <c r="CO1939">
        <v>5</v>
      </c>
      <c r="CP1939" t="s">
        <v>119</v>
      </c>
      <c r="CQ1939">
        <v>232</v>
      </c>
      <c r="CR1939">
        <v>1</v>
      </c>
      <c r="CW1939">
        <v>15764369</v>
      </c>
      <c r="CY1939">
        <v>1</v>
      </c>
      <c r="CZ1939">
        <v>0</v>
      </c>
      <c r="DA1939">
        <v>1</v>
      </c>
      <c r="DB1939">
        <v>0</v>
      </c>
      <c r="DC1939">
        <v>0</v>
      </c>
      <c r="DD1939">
        <v>1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>"12/16/2021 14:52:58.829"</f>
        <v>12/16/2021 14:52:58.829</v>
      </c>
      <c r="C1940" t="str">
        <f t="shared" si="94"/>
        <v>FFDFD3C0</v>
      </c>
      <c r="D1940" t="s">
        <v>124</v>
      </c>
      <c r="E1940">
        <v>5</v>
      </c>
      <c r="F1940">
        <v>1005</v>
      </c>
      <c r="G1940" t="s">
        <v>114</v>
      </c>
      <c r="J1940" t="s">
        <v>125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>"14:52:58.633"</f>
        <v>14:52:58.633</v>
      </c>
      <c r="T1940" t="str">
        <f>"14:52:58.233"</f>
        <v>14:52:58.233</v>
      </c>
      <c r="U1940" t="str">
        <f t="shared" si="96"/>
        <v>A0F928</v>
      </c>
      <c r="V1940">
        <v>0</v>
      </c>
      <c r="W1940">
        <v>0</v>
      </c>
      <c r="X1940">
        <v>2</v>
      </c>
      <c r="Z1940">
        <v>0</v>
      </c>
      <c r="AA1940">
        <v>9</v>
      </c>
      <c r="AB1940">
        <v>3</v>
      </c>
      <c r="AC1940">
        <v>0</v>
      </c>
      <c r="AD1940">
        <v>10</v>
      </c>
      <c r="AE1940">
        <v>0</v>
      </c>
      <c r="AF1940">
        <v>3</v>
      </c>
      <c r="AG1940">
        <v>2</v>
      </c>
      <c r="AH1940">
        <v>1</v>
      </c>
      <c r="AI1940" t="s">
        <v>1025</v>
      </c>
      <c r="AJ1940">
        <v>35.853796000000003</v>
      </c>
      <c r="AK1940" t="s">
        <v>1026</v>
      </c>
      <c r="AL1940">
        <v>-83.983376000000007</v>
      </c>
      <c r="AM1940">
        <v>25</v>
      </c>
      <c r="AN1940">
        <v>1475</v>
      </c>
      <c r="AO1940" t="s">
        <v>118</v>
      </c>
      <c r="AP1940">
        <v>82</v>
      </c>
      <c r="AQ1940">
        <v>81</v>
      </c>
      <c r="AR1940">
        <v>-320</v>
      </c>
      <c r="AZ1940">
        <v>300</v>
      </c>
      <c r="BA1940">
        <v>1</v>
      </c>
      <c r="BB1940" t="str">
        <f t="shared" si="95"/>
        <v xml:space="preserve">N162AM  </v>
      </c>
      <c r="BC1940">
        <v>1</v>
      </c>
      <c r="BE1940">
        <v>0</v>
      </c>
      <c r="BF1940">
        <v>0</v>
      </c>
      <c r="BG1940">
        <v>0</v>
      </c>
      <c r="BH1940">
        <v>1750</v>
      </c>
      <c r="BI1940">
        <v>1</v>
      </c>
      <c r="BJ1940">
        <v>1</v>
      </c>
      <c r="BK1940">
        <v>1</v>
      </c>
      <c r="BL1940">
        <v>0</v>
      </c>
      <c r="BO1940">
        <v>0</v>
      </c>
      <c r="BP1940">
        <v>0</v>
      </c>
      <c r="BW1940" t="str">
        <f>"14:52:58.634"</f>
        <v>14:52:58.634</v>
      </c>
      <c r="CJ1940">
        <v>3</v>
      </c>
      <c r="CK1940">
        <v>2</v>
      </c>
      <c r="CL1940">
        <v>0</v>
      </c>
      <c r="CM1940">
        <v>2</v>
      </c>
      <c r="CN1940">
        <v>0</v>
      </c>
      <c r="CO1940">
        <v>5</v>
      </c>
      <c r="CP1940" t="s">
        <v>119</v>
      </c>
      <c r="CQ1940">
        <v>232</v>
      </c>
      <c r="CR1940">
        <v>1</v>
      </c>
      <c r="CW1940">
        <v>15764369</v>
      </c>
      <c r="CY1940">
        <v>1</v>
      </c>
      <c r="CZ1940">
        <v>0</v>
      </c>
      <c r="DA1940">
        <v>1</v>
      </c>
      <c r="DB1940">
        <v>0</v>
      </c>
      <c r="DC1940">
        <v>0</v>
      </c>
      <c r="DD1940">
        <v>1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>"12/16/2021 14:52:58.845"</f>
        <v>12/16/2021 14:52:58.845</v>
      </c>
      <c r="C1941" t="str">
        <f t="shared" si="94"/>
        <v>FFDFD3C0</v>
      </c>
      <c r="D1941" t="s">
        <v>124</v>
      </c>
      <c r="E1941">
        <v>10</v>
      </c>
      <c r="F1941">
        <v>1010</v>
      </c>
      <c r="G1941" t="s">
        <v>130</v>
      </c>
      <c r="J1941" t="s">
        <v>125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>"14:52:58.633"</f>
        <v>14:52:58.633</v>
      </c>
      <c r="T1941" t="str">
        <f>"14:52:58.233"</f>
        <v>14:52:58.233</v>
      </c>
      <c r="U1941" t="str">
        <f t="shared" si="96"/>
        <v>A0F928</v>
      </c>
      <c r="V1941">
        <v>0</v>
      </c>
      <c r="W1941">
        <v>0</v>
      </c>
      <c r="X1941">
        <v>2</v>
      </c>
      <c r="Z1941">
        <v>0</v>
      </c>
      <c r="AA1941">
        <v>9</v>
      </c>
      <c r="AB1941">
        <v>3</v>
      </c>
      <c r="AC1941">
        <v>0</v>
      </c>
      <c r="AD1941">
        <v>10</v>
      </c>
      <c r="AE1941">
        <v>0</v>
      </c>
      <c r="AF1941">
        <v>3</v>
      </c>
      <c r="AG1941">
        <v>2</v>
      </c>
      <c r="AH1941">
        <v>1</v>
      </c>
      <c r="AI1941" t="s">
        <v>1025</v>
      </c>
      <c r="AJ1941">
        <v>35.853796000000003</v>
      </c>
      <c r="AK1941" t="s">
        <v>1026</v>
      </c>
      <c r="AL1941">
        <v>-83.983376000000007</v>
      </c>
      <c r="AM1941">
        <v>25</v>
      </c>
      <c r="AN1941">
        <v>1475</v>
      </c>
      <c r="AO1941" t="s">
        <v>118</v>
      </c>
      <c r="AP1941">
        <v>82</v>
      </c>
      <c r="AQ1941">
        <v>81</v>
      </c>
      <c r="AR1941">
        <v>-320</v>
      </c>
      <c r="AZ1941">
        <v>300</v>
      </c>
      <c r="BA1941">
        <v>1</v>
      </c>
      <c r="BB1941" t="str">
        <f t="shared" si="95"/>
        <v xml:space="preserve">N162AM  </v>
      </c>
      <c r="BC1941">
        <v>1</v>
      </c>
      <c r="BE1941">
        <v>0</v>
      </c>
      <c r="BF1941">
        <v>0</v>
      </c>
      <c r="BG1941">
        <v>0</v>
      </c>
      <c r="BH1941">
        <v>1750</v>
      </c>
      <c r="BI1941">
        <v>1</v>
      </c>
      <c r="BJ1941">
        <v>1</v>
      </c>
      <c r="BK1941">
        <v>1</v>
      </c>
      <c r="BL1941">
        <v>0</v>
      </c>
      <c r="BO1941">
        <v>0</v>
      </c>
      <c r="BP1941">
        <v>0</v>
      </c>
      <c r="BW1941" t="str">
        <f>"14:52:58.634"</f>
        <v>14:52:58.634</v>
      </c>
      <c r="CJ1941">
        <v>3</v>
      </c>
      <c r="CK1941">
        <v>2</v>
      </c>
      <c r="CL1941">
        <v>0</v>
      </c>
      <c r="CM1941">
        <v>2</v>
      </c>
      <c r="CN1941">
        <v>0</v>
      </c>
      <c r="CO1941">
        <v>5</v>
      </c>
      <c r="CP1941" t="s">
        <v>119</v>
      </c>
      <c r="CQ1941">
        <v>232</v>
      </c>
      <c r="CR1941">
        <v>1</v>
      </c>
      <c r="CW1941">
        <v>15764369</v>
      </c>
      <c r="CY1941">
        <v>1</v>
      </c>
      <c r="CZ1941">
        <v>0</v>
      </c>
      <c r="DA1941">
        <v>1</v>
      </c>
      <c r="DB1941">
        <v>0</v>
      </c>
      <c r="DC1941">
        <v>0</v>
      </c>
      <c r="DD1941">
        <v>1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>"12/16/2021 14:52:59.915"</f>
        <v>12/16/2021 14:52:59.915</v>
      </c>
      <c r="C1942" t="str">
        <f t="shared" si="94"/>
        <v>FFDFD3C0</v>
      </c>
      <c r="D1942" t="s">
        <v>113</v>
      </c>
      <c r="E1942">
        <v>8</v>
      </c>
      <c r="H1942">
        <v>176</v>
      </c>
      <c r="I1942" t="s">
        <v>114</v>
      </c>
      <c r="J1942" t="s">
        <v>115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>"14:52:59.664"</f>
        <v>14:52:59.664</v>
      </c>
      <c r="T1942" t="str">
        <f>"14:52:59.264"</f>
        <v>14:52:59.264</v>
      </c>
      <c r="U1942" t="str">
        <f t="shared" si="96"/>
        <v>A0F928</v>
      </c>
      <c r="V1942">
        <v>0</v>
      </c>
      <c r="W1942">
        <v>0</v>
      </c>
      <c r="X1942">
        <v>2</v>
      </c>
      <c r="Z1942">
        <v>0</v>
      </c>
      <c r="AA1942">
        <v>9</v>
      </c>
      <c r="AB1942">
        <v>3</v>
      </c>
      <c r="AC1942">
        <v>0</v>
      </c>
      <c r="AD1942">
        <v>10</v>
      </c>
      <c r="AE1942">
        <v>0</v>
      </c>
      <c r="AF1942">
        <v>3</v>
      </c>
      <c r="AG1942">
        <v>2</v>
      </c>
      <c r="AH1942">
        <v>1</v>
      </c>
      <c r="AI1942" t="s">
        <v>1027</v>
      </c>
      <c r="AJ1942">
        <v>35.854204000000003</v>
      </c>
      <c r="AK1942" t="s">
        <v>1028</v>
      </c>
      <c r="AL1942">
        <v>-83.982882000000004</v>
      </c>
      <c r="AM1942">
        <v>25</v>
      </c>
      <c r="AN1942">
        <v>1475</v>
      </c>
      <c r="AO1942" t="s">
        <v>118</v>
      </c>
      <c r="AP1942">
        <v>82</v>
      </c>
      <c r="AQ1942">
        <v>81</v>
      </c>
      <c r="AR1942">
        <v>-256</v>
      </c>
      <c r="AZ1942">
        <v>300</v>
      </c>
      <c r="BA1942">
        <v>1</v>
      </c>
      <c r="BB1942" t="str">
        <f t="shared" si="95"/>
        <v xml:space="preserve">N162AM  </v>
      </c>
      <c r="BC1942">
        <v>1</v>
      </c>
      <c r="BE1942">
        <v>0</v>
      </c>
      <c r="BF1942">
        <v>0</v>
      </c>
      <c r="BG1942">
        <v>0</v>
      </c>
      <c r="BH1942">
        <v>1725</v>
      </c>
      <c r="BI1942">
        <v>1</v>
      </c>
      <c r="BJ1942">
        <v>1</v>
      </c>
      <c r="BK1942">
        <v>1</v>
      </c>
      <c r="BL1942">
        <v>0</v>
      </c>
      <c r="BO1942">
        <v>0</v>
      </c>
      <c r="BP1942">
        <v>0</v>
      </c>
      <c r="BW1942" t="str">
        <f>"14:52:59.671"</f>
        <v>14:52:59.671</v>
      </c>
      <c r="CJ1942">
        <v>3</v>
      </c>
      <c r="CK1942">
        <v>2</v>
      </c>
      <c r="CL1942">
        <v>0</v>
      </c>
      <c r="CM1942">
        <v>2</v>
      </c>
      <c r="CN1942">
        <v>0</v>
      </c>
      <c r="CO1942">
        <v>5</v>
      </c>
      <c r="CP1942" t="s">
        <v>119</v>
      </c>
      <c r="CQ1942">
        <v>232</v>
      </c>
      <c r="CR1942">
        <v>2</v>
      </c>
      <c r="CW1942">
        <v>6980576</v>
      </c>
      <c r="CY1942">
        <v>1</v>
      </c>
      <c r="CZ1942">
        <v>0</v>
      </c>
      <c r="DA1942">
        <v>0</v>
      </c>
      <c r="DB1942">
        <v>0</v>
      </c>
      <c r="DC1942">
        <v>0</v>
      </c>
      <c r="DD1942">
        <v>1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>"12/16/2021 14:52:59.915"</f>
        <v>12/16/2021 14:52:59.915</v>
      </c>
      <c r="C1943" t="str">
        <f t="shared" si="94"/>
        <v>FFDFD3C0</v>
      </c>
      <c r="D1943" t="s">
        <v>124</v>
      </c>
      <c r="E1943">
        <v>5</v>
      </c>
      <c r="F1943">
        <v>1005</v>
      </c>
      <c r="G1943" t="s">
        <v>114</v>
      </c>
      <c r="J1943" t="s">
        <v>125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>"14:52:59.664"</f>
        <v>14:52:59.664</v>
      </c>
      <c r="T1943" t="str">
        <f>"14:52:59.264"</f>
        <v>14:52:59.264</v>
      </c>
      <c r="U1943" t="str">
        <f t="shared" si="96"/>
        <v>A0F928</v>
      </c>
      <c r="V1943">
        <v>0</v>
      </c>
      <c r="W1943">
        <v>0</v>
      </c>
      <c r="X1943">
        <v>2</v>
      </c>
      <c r="Z1943">
        <v>0</v>
      </c>
      <c r="AA1943">
        <v>9</v>
      </c>
      <c r="AB1943">
        <v>3</v>
      </c>
      <c r="AC1943">
        <v>0</v>
      </c>
      <c r="AD1943">
        <v>10</v>
      </c>
      <c r="AE1943">
        <v>0</v>
      </c>
      <c r="AF1943">
        <v>3</v>
      </c>
      <c r="AG1943">
        <v>2</v>
      </c>
      <c r="AH1943">
        <v>1</v>
      </c>
      <c r="AI1943" t="s">
        <v>1027</v>
      </c>
      <c r="AJ1943">
        <v>35.854204000000003</v>
      </c>
      <c r="AK1943" t="s">
        <v>1028</v>
      </c>
      <c r="AL1943">
        <v>-83.982882000000004</v>
      </c>
      <c r="AM1943">
        <v>25</v>
      </c>
      <c r="AN1943">
        <v>1475</v>
      </c>
      <c r="AO1943" t="s">
        <v>118</v>
      </c>
      <c r="AP1943">
        <v>82</v>
      </c>
      <c r="AQ1943">
        <v>81</v>
      </c>
      <c r="AR1943">
        <v>-256</v>
      </c>
      <c r="AZ1943">
        <v>300</v>
      </c>
      <c r="BA1943">
        <v>1</v>
      </c>
      <c r="BB1943" t="str">
        <f t="shared" si="95"/>
        <v xml:space="preserve">N162AM  </v>
      </c>
      <c r="BC1943">
        <v>1</v>
      </c>
      <c r="BE1943">
        <v>0</v>
      </c>
      <c r="BF1943">
        <v>0</v>
      </c>
      <c r="BG1943">
        <v>0</v>
      </c>
      <c r="BH1943">
        <v>1725</v>
      </c>
      <c r="BI1943">
        <v>1</v>
      </c>
      <c r="BJ1943">
        <v>1</v>
      </c>
      <c r="BK1943">
        <v>1</v>
      </c>
      <c r="BL1943">
        <v>0</v>
      </c>
      <c r="BO1943">
        <v>0</v>
      </c>
      <c r="BP1943">
        <v>0</v>
      </c>
      <c r="BW1943" t="str">
        <f>"14:52:59.671"</f>
        <v>14:52:59.671</v>
      </c>
      <c r="CJ1943">
        <v>3</v>
      </c>
      <c r="CK1943">
        <v>2</v>
      </c>
      <c r="CL1943">
        <v>0</v>
      </c>
      <c r="CM1943">
        <v>2</v>
      </c>
      <c r="CN1943">
        <v>0</v>
      </c>
      <c r="CO1943">
        <v>5</v>
      </c>
      <c r="CP1943" t="s">
        <v>119</v>
      </c>
      <c r="CQ1943">
        <v>232</v>
      </c>
      <c r="CR1943">
        <v>2</v>
      </c>
      <c r="CW1943">
        <v>6980576</v>
      </c>
      <c r="CY1943">
        <v>1</v>
      </c>
      <c r="CZ1943">
        <v>0</v>
      </c>
      <c r="DA1943">
        <v>1</v>
      </c>
      <c r="DB1943">
        <v>0</v>
      </c>
      <c r="DC1943">
        <v>0</v>
      </c>
      <c r="DD1943">
        <v>1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>"12/16/2021 14:52:59.915"</f>
        <v>12/16/2021 14:52:59.915</v>
      </c>
      <c r="C1944" t="str">
        <f t="shared" si="94"/>
        <v>FFDFD3C0</v>
      </c>
      <c r="D1944" t="s">
        <v>124</v>
      </c>
      <c r="E1944">
        <v>10</v>
      </c>
      <c r="F1944">
        <v>1010</v>
      </c>
      <c r="G1944" t="s">
        <v>130</v>
      </c>
      <c r="J1944" t="s">
        <v>125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>"14:52:59.664"</f>
        <v>14:52:59.664</v>
      </c>
      <c r="T1944" t="str">
        <f>"14:52:59.264"</f>
        <v>14:52:59.264</v>
      </c>
      <c r="U1944" t="str">
        <f t="shared" si="96"/>
        <v>A0F928</v>
      </c>
      <c r="V1944">
        <v>0</v>
      </c>
      <c r="W1944">
        <v>0</v>
      </c>
      <c r="X1944">
        <v>2</v>
      </c>
      <c r="Z1944">
        <v>0</v>
      </c>
      <c r="AA1944">
        <v>9</v>
      </c>
      <c r="AB1944">
        <v>3</v>
      </c>
      <c r="AC1944">
        <v>0</v>
      </c>
      <c r="AD1944">
        <v>10</v>
      </c>
      <c r="AE1944">
        <v>0</v>
      </c>
      <c r="AF1944">
        <v>3</v>
      </c>
      <c r="AG1944">
        <v>2</v>
      </c>
      <c r="AH1944">
        <v>1</v>
      </c>
      <c r="AI1944" t="s">
        <v>1027</v>
      </c>
      <c r="AJ1944">
        <v>35.854204000000003</v>
      </c>
      <c r="AK1944" t="s">
        <v>1028</v>
      </c>
      <c r="AL1944">
        <v>-83.982882000000004</v>
      </c>
      <c r="AM1944">
        <v>25</v>
      </c>
      <c r="AN1944">
        <v>1475</v>
      </c>
      <c r="AO1944" t="s">
        <v>118</v>
      </c>
      <c r="AP1944">
        <v>82</v>
      </c>
      <c r="AQ1944">
        <v>81</v>
      </c>
      <c r="AR1944">
        <v>-256</v>
      </c>
      <c r="AZ1944">
        <v>300</v>
      </c>
      <c r="BA1944">
        <v>1</v>
      </c>
      <c r="BB1944" t="str">
        <f t="shared" si="95"/>
        <v xml:space="preserve">N162AM  </v>
      </c>
      <c r="BC1944">
        <v>1</v>
      </c>
      <c r="BE1944">
        <v>0</v>
      </c>
      <c r="BF1944">
        <v>0</v>
      </c>
      <c r="BG1944">
        <v>0</v>
      </c>
      <c r="BH1944">
        <v>1725</v>
      </c>
      <c r="BI1944">
        <v>1</v>
      </c>
      <c r="BJ1944">
        <v>1</v>
      </c>
      <c r="BK1944">
        <v>1</v>
      </c>
      <c r="BL1944">
        <v>0</v>
      </c>
      <c r="BO1944">
        <v>0</v>
      </c>
      <c r="BP1944">
        <v>0</v>
      </c>
      <c r="BW1944" t="str">
        <f>"14:52:59.671"</f>
        <v>14:52:59.671</v>
      </c>
      <c r="CJ1944">
        <v>3</v>
      </c>
      <c r="CK1944">
        <v>2</v>
      </c>
      <c r="CL1944">
        <v>0</v>
      </c>
      <c r="CM1944">
        <v>2</v>
      </c>
      <c r="CN1944">
        <v>0</v>
      </c>
      <c r="CO1944">
        <v>5</v>
      </c>
      <c r="CP1944" t="s">
        <v>119</v>
      </c>
      <c r="CQ1944">
        <v>232</v>
      </c>
      <c r="CR1944">
        <v>2</v>
      </c>
      <c r="CW1944">
        <v>6980576</v>
      </c>
      <c r="CY1944">
        <v>1</v>
      </c>
      <c r="CZ1944">
        <v>0</v>
      </c>
      <c r="DA1944">
        <v>1</v>
      </c>
      <c r="DB1944">
        <v>0</v>
      </c>
      <c r="DC1944">
        <v>0</v>
      </c>
      <c r="DD1944">
        <v>1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>"12/16/2021 14:52:59.946"</f>
        <v>12/16/2021 14:52:59.946</v>
      </c>
      <c r="C1945" t="str">
        <f t="shared" si="94"/>
        <v>FFDFD3C0</v>
      </c>
      <c r="D1945" t="s">
        <v>133</v>
      </c>
      <c r="E1945">
        <v>44</v>
      </c>
      <c r="H1945">
        <v>131</v>
      </c>
      <c r="I1945" t="s">
        <v>134</v>
      </c>
      <c r="J1945" t="s">
        <v>135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>"14:52:59.664"</f>
        <v>14:52:59.664</v>
      </c>
      <c r="T1945" t="str">
        <f>"14:52:59.264"</f>
        <v>14:52:59.264</v>
      </c>
      <c r="U1945" t="str">
        <f t="shared" si="96"/>
        <v>A0F928</v>
      </c>
      <c r="V1945">
        <v>0</v>
      </c>
      <c r="W1945">
        <v>0</v>
      </c>
      <c r="X1945">
        <v>2</v>
      </c>
      <c r="Z1945">
        <v>0</v>
      </c>
      <c r="AA1945">
        <v>9</v>
      </c>
      <c r="AB1945">
        <v>3</v>
      </c>
      <c r="AC1945">
        <v>0</v>
      </c>
      <c r="AD1945">
        <v>10</v>
      </c>
      <c r="AE1945">
        <v>0</v>
      </c>
      <c r="AF1945">
        <v>3</v>
      </c>
      <c r="AG1945">
        <v>2</v>
      </c>
      <c r="AH1945">
        <v>1</v>
      </c>
      <c r="AI1945" t="s">
        <v>1027</v>
      </c>
      <c r="AJ1945">
        <v>35.854204000000003</v>
      </c>
      <c r="AK1945" t="s">
        <v>1028</v>
      </c>
      <c r="AL1945">
        <v>-83.982882000000004</v>
      </c>
      <c r="AM1945">
        <v>25</v>
      </c>
      <c r="AN1945">
        <v>1475</v>
      </c>
      <c r="AO1945" t="s">
        <v>118</v>
      </c>
      <c r="AP1945">
        <v>82</v>
      </c>
      <c r="AQ1945">
        <v>81</v>
      </c>
      <c r="AR1945">
        <v>-256</v>
      </c>
      <c r="AZ1945">
        <v>300</v>
      </c>
      <c r="BA1945">
        <v>1</v>
      </c>
      <c r="BB1945" t="str">
        <f t="shared" si="95"/>
        <v xml:space="preserve">N162AM  </v>
      </c>
      <c r="BC1945">
        <v>1</v>
      </c>
      <c r="BE1945">
        <v>0</v>
      </c>
      <c r="BF1945">
        <v>0</v>
      </c>
      <c r="BG1945">
        <v>0</v>
      </c>
      <c r="BH1945">
        <v>1725</v>
      </c>
      <c r="BI1945">
        <v>1</v>
      </c>
      <c r="BJ1945">
        <v>1</v>
      </c>
      <c r="BK1945">
        <v>1</v>
      </c>
      <c r="BL1945">
        <v>0</v>
      </c>
      <c r="BO1945">
        <v>0</v>
      </c>
      <c r="BP1945">
        <v>0</v>
      </c>
      <c r="BW1945" t="str">
        <f>"14:52:59.671"</f>
        <v>14:52:59.671</v>
      </c>
      <c r="CJ1945">
        <v>3</v>
      </c>
      <c r="CK1945">
        <v>2</v>
      </c>
      <c r="CL1945">
        <v>0</v>
      </c>
      <c r="CM1945">
        <v>2</v>
      </c>
      <c r="CN1945">
        <v>0</v>
      </c>
      <c r="CO1945">
        <v>5</v>
      </c>
      <c r="CP1945" t="s">
        <v>119</v>
      </c>
      <c r="CQ1945">
        <v>232</v>
      </c>
      <c r="CR1945">
        <v>2</v>
      </c>
      <c r="CW1945">
        <v>6980576</v>
      </c>
      <c r="CY1945">
        <v>1</v>
      </c>
      <c r="CZ1945">
        <v>0</v>
      </c>
      <c r="DA1945">
        <v>1</v>
      </c>
      <c r="DB1945">
        <v>0</v>
      </c>
      <c r="DC1945">
        <v>0</v>
      </c>
      <c r="DD1945">
        <v>1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>"12/16/2021 14:53:00.712"</f>
        <v>12/16/2021 14:53:00.712</v>
      </c>
      <c r="C1946" t="str">
        <f t="shared" si="94"/>
        <v>FFDFD3C0</v>
      </c>
      <c r="D1946" t="s">
        <v>124</v>
      </c>
      <c r="E1946">
        <v>10</v>
      </c>
      <c r="F1946">
        <v>1010</v>
      </c>
      <c r="G1946" t="s">
        <v>130</v>
      </c>
      <c r="J1946" t="s">
        <v>125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>"14:53:00.523"</f>
        <v>14:53:00.523</v>
      </c>
      <c r="T1946" t="str">
        <f>"14:52:59.723"</f>
        <v>14:52:59.723</v>
      </c>
      <c r="U1946" t="str">
        <f t="shared" si="96"/>
        <v>A0F928</v>
      </c>
      <c r="V1946">
        <v>0</v>
      </c>
      <c r="W1946">
        <v>0</v>
      </c>
      <c r="X1946">
        <v>2</v>
      </c>
      <c r="Z1946">
        <v>0</v>
      </c>
      <c r="AA1946">
        <v>9</v>
      </c>
      <c r="AB1946">
        <v>3</v>
      </c>
      <c r="AC1946">
        <v>0</v>
      </c>
      <c r="AD1946">
        <v>10</v>
      </c>
      <c r="AE1946">
        <v>0</v>
      </c>
      <c r="AF1946">
        <v>3</v>
      </c>
      <c r="AG1946">
        <v>2</v>
      </c>
      <c r="AH1946">
        <v>1</v>
      </c>
      <c r="AI1946" t="s">
        <v>1029</v>
      </c>
      <c r="AJ1946">
        <v>35.854483000000002</v>
      </c>
      <c r="AK1946" t="s">
        <v>266</v>
      </c>
      <c r="AL1946">
        <v>-83.982539000000003</v>
      </c>
      <c r="AM1946">
        <v>25</v>
      </c>
      <c r="AN1946">
        <v>1475</v>
      </c>
      <c r="AO1946" t="s">
        <v>118</v>
      </c>
      <c r="AP1946">
        <v>82</v>
      </c>
      <c r="AQ1946">
        <v>81</v>
      </c>
      <c r="AR1946">
        <v>-256</v>
      </c>
      <c r="AZ1946">
        <v>300</v>
      </c>
      <c r="BA1946">
        <v>1</v>
      </c>
      <c r="BB1946" t="str">
        <f t="shared" si="95"/>
        <v xml:space="preserve">N162AM  </v>
      </c>
      <c r="BC1946">
        <v>1</v>
      </c>
      <c r="BE1946">
        <v>0</v>
      </c>
      <c r="BF1946">
        <v>0</v>
      </c>
      <c r="BG1946">
        <v>0</v>
      </c>
      <c r="BH1946">
        <v>1725</v>
      </c>
      <c r="BI1946">
        <v>1</v>
      </c>
      <c r="BJ1946">
        <v>1</v>
      </c>
      <c r="BK1946">
        <v>1</v>
      </c>
      <c r="BL1946">
        <v>0</v>
      </c>
      <c r="BO1946">
        <v>0</v>
      </c>
      <c r="BP1946">
        <v>0</v>
      </c>
      <c r="BW1946" t="str">
        <f>"14:53:00.526"</f>
        <v>14:53:00.526</v>
      </c>
      <c r="CJ1946">
        <v>3</v>
      </c>
      <c r="CK1946">
        <v>2</v>
      </c>
      <c r="CL1946">
        <v>0</v>
      </c>
      <c r="CM1946">
        <v>2</v>
      </c>
      <c r="CN1946">
        <v>0</v>
      </c>
      <c r="CO1946">
        <v>5</v>
      </c>
      <c r="CP1946" t="s">
        <v>119</v>
      </c>
      <c r="CQ1946">
        <v>232</v>
      </c>
      <c r="CR1946">
        <v>2</v>
      </c>
      <c r="CW1946">
        <v>6981965</v>
      </c>
      <c r="CY1946">
        <v>1</v>
      </c>
      <c r="CZ1946">
        <v>0</v>
      </c>
      <c r="DA1946">
        <v>0</v>
      </c>
      <c r="DB1946">
        <v>0</v>
      </c>
      <c r="DC1946">
        <v>0</v>
      </c>
      <c r="DD1946">
        <v>1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>"12/16/2021 14:53:00.727"</f>
        <v>12/16/2021 14:53:00.727</v>
      </c>
      <c r="C1947" t="str">
        <f t="shared" si="94"/>
        <v>FFDFD3C0</v>
      </c>
      <c r="D1947" t="s">
        <v>133</v>
      </c>
      <c r="E1947">
        <v>44</v>
      </c>
      <c r="H1947">
        <v>131</v>
      </c>
      <c r="I1947" t="s">
        <v>134</v>
      </c>
      <c r="J1947" t="s">
        <v>135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>"14:53:00.523"</f>
        <v>14:53:00.523</v>
      </c>
      <c r="T1947" t="str">
        <f>"14:52:59.723"</f>
        <v>14:52:59.723</v>
      </c>
      <c r="U1947" t="str">
        <f t="shared" si="96"/>
        <v>A0F928</v>
      </c>
      <c r="V1947">
        <v>0</v>
      </c>
      <c r="W1947">
        <v>0</v>
      </c>
      <c r="X1947">
        <v>2</v>
      </c>
      <c r="Z1947">
        <v>0</v>
      </c>
      <c r="AA1947">
        <v>9</v>
      </c>
      <c r="AB1947">
        <v>3</v>
      </c>
      <c r="AC1947">
        <v>0</v>
      </c>
      <c r="AD1947">
        <v>10</v>
      </c>
      <c r="AE1947">
        <v>0</v>
      </c>
      <c r="AF1947">
        <v>3</v>
      </c>
      <c r="AG1947">
        <v>2</v>
      </c>
      <c r="AH1947">
        <v>1</v>
      </c>
      <c r="AI1947" t="s">
        <v>1029</v>
      </c>
      <c r="AJ1947">
        <v>35.854483000000002</v>
      </c>
      <c r="AK1947" t="s">
        <v>266</v>
      </c>
      <c r="AL1947">
        <v>-83.982539000000003</v>
      </c>
      <c r="AM1947">
        <v>25</v>
      </c>
      <c r="AN1947">
        <v>1475</v>
      </c>
      <c r="AO1947" t="s">
        <v>118</v>
      </c>
      <c r="AP1947">
        <v>82</v>
      </c>
      <c r="AQ1947">
        <v>81</v>
      </c>
      <c r="AR1947">
        <v>-256</v>
      </c>
      <c r="AZ1947">
        <v>300</v>
      </c>
      <c r="BA1947">
        <v>1</v>
      </c>
      <c r="BB1947" t="str">
        <f t="shared" si="95"/>
        <v xml:space="preserve">N162AM  </v>
      </c>
      <c r="BC1947">
        <v>1</v>
      </c>
      <c r="BE1947">
        <v>0</v>
      </c>
      <c r="BF1947">
        <v>0</v>
      </c>
      <c r="BG1947">
        <v>0</v>
      </c>
      <c r="BH1947">
        <v>1725</v>
      </c>
      <c r="BI1947">
        <v>1</v>
      </c>
      <c r="BJ1947">
        <v>1</v>
      </c>
      <c r="BK1947">
        <v>1</v>
      </c>
      <c r="BL1947">
        <v>0</v>
      </c>
      <c r="BO1947">
        <v>0</v>
      </c>
      <c r="BP1947">
        <v>0</v>
      </c>
      <c r="BW1947" t="str">
        <f>"14:53:00.526"</f>
        <v>14:53:00.526</v>
      </c>
      <c r="CJ1947">
        <v>3</v>
      </c>
      <c r="CK1947">
        <v>2</v>
      </c>
      <c r="CL1947">
        <v>0</v>
      </c>
      <c r="CM1947">
        <v>2</v>
      </c>
      <c r="CN1947">
        <v>0</v>
      </c>
      <c r="CO1947">
        <v>5</v>
      </c>
      <c r="CP1947" t="s">
        <v>119</v>
      </c>
      <c r="CQ1947">
        <v>232</v>
      </c>
      <c r="CR1947">
        <v>2</v>
      </c>
      <c r="CW1947">
        <v>6981965</v>
      </c>
      <c r="CY1947">
        <v>1</v>
      </c>
      <c r="CZ1947">
        <v>0</v>
      </c>
      <c r="DA1947">
        <v>1</v>
      </c>
      <c r="DB1947">
        <v>0</v>
      </c>
      <c r="DC1947">
        <v>0</v>
      </c>
      <c r="DD1947">
        <v>1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>"12/16/2021 14:53:00.743"</f>
        <v>12/16/2021 14:53:00.743</v>
      </c>
      <c r="C1948" t="str">
        <f t="shared" si="94"/>
        <v>FFDFD3C0</v>
      </c>
      <c r="D1948" t="s">
        <v>124</v>
      </c>
      <c r="E1948">
        <v>5</v>
      </c>
      <c r="F1948">
        <v>1005</v>
      </c>
      <c r="G1948" t="s">
        <v>114</v>
      </c>
      <c r="J1948" t="s">
        <v>125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>"14:53:00.523"</f>
        <v>14:53:00.523</v>
      </c>
      <c r="T1948" t="str">
        <f>"14:52:59.723"</f>
        <v>14:52:59.723</v>
      </c>
      <c r="U1948" t="str">
        <f t="shared" si="96"/>
        <v>A0F928</v>
      </c>
      <c r="V1948">
        <v>0</v>
      </c>
      <c r="W1948">
        <v>0</v>
      </c>
      <c r="X1948">
        <v>2</v>
      </c>
      <c r="Z1948">
        <v>0</v>
      </c>
      <c r="AA1948">
        <v>9</v>
      </c>
      <c r="AB1948">
        <v>3</v>
      </c>
      <c r="AC1948">
        <v>0</v>
      </c>
      <c r="AD1948">
        <v>10</v>
      </c>
      <c r="AE1948">
        <v>0</v>
      </c>
      <c r="AF1948">
        <v>3</v>
      </c>
      <c r="AG1948">
        <v>2</v>
      </c>
      <c r="AH1948">
        <v>1</v>
      </c>
      <c r="AI1948" t="s">
        <v>1029</v>
      </c>
      <c r="AJ1948">
        <v>35.854483000000002</v>
      </c>
      <c r="AK1948" t="s">
        <v>266</v>
      </c>
      <c r="AL1948">
        <v>-83.982539000000003</v>
      </c>
      <c r="AM1948">
        <v>25</v>
      </c>
      <c r="AN1948">
        <v>1475</v>
      </c>
      <c r="AO1948" t="s">
        <v>118</v>
      </c>
      <c r="AP1948">
        <v>82</v>
      </c>
      <c r="AQ1948">
        <v>81</v>
      </c>
      <c r="AR1948">
        <v>-256</v>
      </c>
      <c r="AZ1948">
        <v>300</v>
      </c>
      <c r="BA1948">
        <v>1</v>
      </c>
      <c r="BB1948" t="str">
        <f t="shared" si="95"/>
        <v xml:space="preserve">N162AM  </v>
      </c>
      <c r="BC1948">
        <v>1</v>
      </c>
      <c r="BE1948">
        <v>0</v>
      </c>
      <c r="BF1948">
        <v>0</v>
      </c>
      <c r="BG1948">
        <v>0</v>
      </c>
      <c r="BH1948">
        <v>1725</v>
      </c>
      <c r="BI1948">
        <v>1</v>
      </c>
      <c r="BJ1948">
        <v>1</v>
      </c>
      <c r="BK1948">
        <v>1</v>
      </c>
      <c r="BL1948">
        <v>0</v>
      </c>
      <c r="BO1948">
        <v>0</v>
      </c>
      <c r="BP1948">
        <v>0</v>
      </c>
      <c r="BW1948" t="str">
        <f>"14:53:00.526"</f>
        <v>14:53:00.526</v>
      </c>
      <c r="CJ1948">
        <v>3</v>
      </c>
      <c r="CK1948">
        <v>2</v>
      </c>
      <c r="CL1948">
        <v>0</v>
      </c>
      <c r="CM1948">
        <v>2</v>
      </c>
      <c r="CN1948">
        <v>0</v>
      </c>
      <c r="CO1948">
        <v>5</v>
      </c>
      <c r="CP1948" t="s">
        <v>119</v>
      </c>
      <c r="CQ1948">
        <v>232</v>
      </c>
      <c r="CR1948">
        <v>2</v>
      </c>
      <c r="CW1948">
        <v>6981965</v>
      </c>
      <c r="CY1948">
        <v>1</v>
      </c>
      <c r="CZ1948">
        <v>0</v>
      </c>
      <c r="DA1948">
        <v>1</v>
      </c>
      <c r="DB1948">
        <v>0</v>
      </c>
      <c r="DC1948">
        <v>0</v>
      </c>
      <c r="DD1948">
        <v>1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>"12/16/2021 14:53:00.743"</f>
        <v>12/16/2021 14:53:00.743</v>
      </c>
      <c r="C1949" t="str">
        <f t="shared" si="94"/>
        <v>FFDFD3C0</v>
      </c>
      <c r="D1949" t="s">
        <v>113</v>
      </c>
      <c r="E1949">
        <v>8</v>
      </c>
      <c r="H1949">
        <v>176</v>
      </c>
      <c r="I1949" t="s">
        <v>114</v>
      </c>
      <c r="J1949" t="s">
        <v>115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>"14:53:00.523"</f>
        <v>14:53:00.523</v>
      </c>
      <c r="T1949" t="str">
        <f>"14:52:59.723"</f>
        <v>14:52:59.723</v>
      </c>
      <c r="U1949" t="str">
        <f t="shared" si="96"/>
        <v>A0F928</v>
      </c>
      <c r="V1949">
        <v>0</v>
      </c>
      <c r="W1949">
        <v>0</v>
      </c>
      <c r="X1949">
        <v>2</v>
      </c>
      <c r="Z1949">
        <v>0</v>
      </c>
      <c r="AA1949">
        <v>9</v>
      </c>
      <c r="AB1949">
        <v>3</v>
      </c>
      <c r="AC1949">
        <v>0</v>
      </c>
      <c r="AD1949">
        <v>10</v>
      </c>
      <c r="AE1949">
        <v>0</v>
      </c>
      <c r="AF1949">
        <v>3</v>
      </c>
      <c r="AG1949">
        <v>2</v>
      </c>
      <c r="AH1949">
        <v>1</v>
      </c>
      <c r="AI1949" t="s">
        <v>1029</v>
      </c>
      <c r="AJ1949">
        <v>35.854483000000002</v>
      </c>
      <c r="AK1949" t="s">
        <v>266</v>
      </c>
      <c r="AL1949">
        <v>-83.982539000000003</v>
      </c>
      <c r="AM1949">
        <v>25</v>
      </c>
      <c r="AN1949">
        <v>1475</v>
      </c>
      <c r="AO1949" t="s">
        <v>118</v>
      </c>
      <c r="AP1949">
        <v>82</v>
      </c>
      <c r="AQ1949">
        <v>81</v>
      </c>
      <c r="AR1949">
        <v>-256</v>
      </c>
      <c r="AZ1949">
        <v>300</v>
      </c>
      <c r="BA1949">
        <v>1</v>
      </c>
      <c r="BB1949" t="str">
        <f t="shared" si="95"/>
        <v xml:space="preserve">N162AM  </v>
      </c>
      <c r="BC1949">
        <v>1</v>
      </c>
      <c r="BE1949">
        <v>0</v>
      </c>
      <c r="BF1949">
        <v>0</v>
      </c>
      <c r="BG1949">
        <v>0</v>
      </c>
      <c r="BH1949">
        <v>1725</v>
      </c>
      <c r="BI1949">
        <v>1</v>
      </c>
      <c r="BJ1949">
        <v>1</v>
      </c>
      <c r="BK1949">
        <v>1</v>
      </c>
      <c r="BL1949">
        <v>0</v>
      </c>
      <c r="BO1949">
        <v>0</v>
      </c>
      <c r="BP1949">
        <v>0</v>
      </c>
      <c r="BW1949" t="str">
        <f>"14:53:00.526"</f>
        <v>14:53:00.526</v>
      </c>
      <c r="CJ1949">
        <v>3</v>
      </c>
      <c r="CK1949">
        <v>2</v>
      </c>
      <c r="CL1949">
        <v>0</v>
      </c>
      <c r="CM1949">
        <v>2</v>
      </c>
      <c r="CN1949">
        <v>0</v>
      </c>
      <c r="CO1949">
        <v>5</v>
      </c>
      <c r="CP1949" t="s">
        <v>119</v>
      </c>
      <c r="CQ1949">
        <v>232</v>
      </c>
      <c r="CR1949">
        <v>2</v>
      </c>
      <c r="CW1949">
        <v>6981965</v>
      </c>
      <c r="CY1949">
        <v>1</v>
      </c>
      <c r="CZ1949">
        <v>0</v>
      </c>
      <c r="DA1949">
        <v>1</v>
      </c>
      <c r="DB1949">
        <v>0</v>
      </c>
      <c r="DC1949">
        <v>0</v>
      </c>
      <c r="DD1949">
        <v>1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>"12/16/2021 14:53:01.759"</f>
        <v>12/16/2021 14:53:01.759</v>
      </c>
      <c r="C1950" t="str">
        <f t="shared" si="94"/>
        <v>FFDFD3C0</v>
      </c>
      <c r="D1950" t="s">
        <v>124</v>
      </c>
      <c r="E1950">
        <v>10</v>
      </c>
      <c r="F1950">
        <v>1010</v>
      </c>
      <c r="G1950" t="s">
        <v>130</v>
      </c>
      <c r="J1950" t="s">
        <v>125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>"14:53:01.563"</f>
        <v>14:53:01.563</v>
      </c>
      <c r="T1950" t="str">
        <f>"14:53:01.063"</f>
        <v>14:53:01.063</v>
      </c>
      <c r="U1950" t="str">
        <f t="shared" si="96"/>
        <v>A0F928</v>
      </c>
      <c r="V1950">
        <v>0</v>
      </c>
      <c r="W1950">
        <v>0</v>
      </c>
      <c r="X1950">
        <v>2</v>
      </c>
      <c r="Z1950">
        <v>0</v>
      </c>
      <c r="AA1950">
        <v>9</v>
      </c>
      <c r="AB1950">
        <v>3</v>
      </c>
      <c r="AC1950">
        <v>0</v>
      </c>
      <c r="AD1950">
        <v>10</v>
      </c>
      <c r="AE1950">
        <v>0</v>
      </c>
      <c r="AF1950">
        <v>3</v>
      </c>
      <c r="AG1950">
        <v>2</v>
      </c>
      <c r="AH1950">
        <v>1</v>
      </c>
      <c r="AI1950" t="s">
        <v>1030</v>
      </c>
      <c r="AJ1950">
        <v>35.854889999999997</v>
      </c>
      <c r="AK1950" t="s">
        <v>1031</v>
      </c>
      <c r="AL1950">
        <v>-83.982003000000006</v>
      </c>
      <c r="AM1950">
        <v>25</v>
      </c>
      <c r="AN1950">
        <v>1475</v>
      </c>
      <c r="AO1950" t="s">
        <v>118</v>
      </c>
      <c r="AP1950">
        <v>82</v>
      </c>
      <c r="AQ1950">
        <v>80</v>
      </c>
      <c r="AR1950">
        <v>-256</v>
      </c>
      <c r="AZ1950">
        <v>300</v>
      </c>
      <c r="BA1950">
        <v>1</v>
      </c>
      <c r="BB1950" t="str">
        <f t="shared" si="95"/>
        <v xml:space="preserve">N162AM  </v>
      </c>
      <c r="BC1950">
        <v>1</v>
      </c>
      <c r="BE1950">
        <v>0</v>
      </c>
      <c r="BF1950">
        <v>0</v>
      </c>
      <c r="BG1950">
        <v>0</v>
      </c>
      <c r="BH1950">
        <v>1725</v>
      </c>
      <c r="BI1950">
        <v>1</v>
      </c>
      <c r="BJ1950">
        <v>1</v>
      </c>
      <c r="BK1950">
        <v>1</v>
      </c>
      <c r="BL1950">
        <v>0</v>
      </c>
      <c r="BO1950">
        <v>0</v>
      </c>
      <c r="BP1950">
        <v>0</v>
      </c>
      <c r="BW1950" t="str">
        <f>"14:53:01.567"</f>
        <v>14:53:01.567</v>
      </c>
      <c r="CJ1950">
        <v>3</v>
      </c>
      <c r="CK1950">
        <v>2</v>
      </c>
      <c r="CL1950">
        <v>0</v>
      </c>
      <c r="CM1950">
        <v>2</v>
      </c>
      <c r="CN1950">
        <v>0</v>
      </c>
      <c r="CO1950">
        <v>5</v>
      </c>
      <c r="CP1950" t="s">
        <v>119</v>
      </c>
      <c r="CQ1950">
        <v>232</v>
      </c>
      <c r="CR1950">
        <v>1</v>
      </c>
      <c r="CW1950">
        <v>15768725</v>
      </c>
      <c r="CY1950">
        <v>1</v>
      </c>
      <c r="CZ1950">
        <v>0</v>
      </c>
      <c r="DA1950">
        <v>0</v>
      </c>
      <c r="DB1950">
        <v>0</v>
      </c>
      <c r="DC1950">
        <v>0</v>
      </c>
      <c r="DD1950">
        <v>1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>"12/16/2021 14:53:01.806"</f>
        <v>12/16/2021 14:53:01.806</v>
      </c>
      <c r="C1951" t="str">
        <f t="shared" si="94"/>
        <v>FFDFD3C0</v>
      </c>
      <c r="D1951" t="s">
        <v>133</v>
      </c>
      <c r="E1951">
        <v>44</v>
      </c>
      <c r="H1951">
        <v>131</v>
      </c>
      <c r="I1951" t="s">
        <v>134</v>
      </c>
      <c r="J1951" t="s">
        <v>135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>"14:53:01.563"</f>
        <v>14:53:01.563</v>
      </c>
      <c r="T1951" t="str">
        <f>"14:53:01.063"</f>
        <v>14:53:01.063</v>
      </c>
      <c r="U1951" t="str">
        <f t="shared" si="96"/>
        <v>A0F928</v>
      </c>
      <c r="V1951">
        <v>0</v>
      </c>
      <c r="W1951">
        <v>0</v>
      </c>
      <c r="X1951">
        <v>2</v>
      </c>
      <c r="Z1951">
        <v>0</v>
      </c>
      <c r="AA1951">
        <v>9</v>
      </c>
      <c r="AB1951">
        <v>3</v>
      </c>
      <c r="AC1951">
        <v>0</v>
      </c>
      <c r="AD1951">
        <v>10</v>
      </c>
      <c r="AE1951">
        <v>0</v>
      </c>
      <c r="AF1951">
        <v>3</v>
      </c>
      <c r="AG1951">
        <v>2</v>
      </c>
      <c r="AH1951">
        <v>1</v>
      </c>
      <c r="AI1951" t="s">
        <v>1030</v>
      </c>
      <c r="AJ1951">
        <v>35.854889999999997</v>
      </c>
      <c r="AK1951" t="s">
        <v>1031</v>
      </c>
      <c r="AL1951">
        <v>-83.982003000000006</v>
      </c>
      <c r="AM1951">
        <v>25</v>
      </c>
      <c r="AN1951">
        <v>1475</v>
      </c>
      <c r="AO1951" t="s">
        <v>118</v>
      </c>
      <c r="AP1951">
        <v>82</v>
      </c>
      <c r="AQ1951">
        <v>80</v>
      </c>
      <c r="AR1951">
        <v>-256</v>
      </c>
      <c r="AZ1951">
        <v>300</v>
      </c>
      <c r="BA1951">
        <v>1</v>
      </c>
      <c r="BB1951" t="str">
        <f t="shared" si="95"/>
        <v xml:space="preserve">N162AM  </v>
      </c>
      <c r="BC1951">
        <v>1</v>
      </c>
      <c r="BE1951">
        <v>0</v>
      </c>
      <c r="BF1951">
        <v>0</v>
      </c>
      <c r="BG1951">
        <v>0</v>
      </c>
      <c r="BH1951">
        <v>1725</v>
      </c>
      <c r="BI1951">
        <v>1</v>
      </c>
      <c r="BJ1951">
        <v>1</v>
      </c>
      <c r="BK1951">
        <v>1</v>
      </c>
      <c r="BL1951">
        <v>0</v>
      </c>
      <c r="BO1951">
        <v>0</v>
      </c>
      <c r="BP1951">
        <v>0</v>
      </c>
      <c r="BW1951" t="str">
        <f>"14:53:01.567"</f>
        <v>14:53:01.567</v>
      </c>
      <c r="CJ1951">
        <v>3</v>
      </c>
      <c r="CK1951">
        <v>2</v>
      </c>
      <c r="CL1951">
        <v>0</v>
      </c>
      <c r="CM1951">
        <v>2</v>
      </c>
      <c r="CN1951">
        <v>0</v>
      </c>
      <c r="CO1951">
        <v>5</v>
      </c>
      <c r="CP1951" t="s">
        <v>119</v>
      </c>
      <c r="CQ1951">
        <v>232</v>
      </c>
      <c r="CR1951">
        <v>1</v>
      </c>
      <c r="CW1951">
        <v>15768725</v>
      </c>
      <c r="CY1951">
        <v>1</v>
      </c>
      <c r="CZ1951">
        <v>0</v>
      </c>
      <c r="DA1951">
        <v>1</v>
      </c>
      <c r="DB1951">
        <v>0</v>
      </c>
      <c r="DC1951">
        <v>0</v>
      </c>
      <c r="DD1951">
        <v>1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>"12/16/2021 14:53:01.806"</f>
        <v>12/16/2021 14:53:01.806</v>
      </c>
      <c r="C1952" t="str">
        <f t="shared" si="94"/>
        <v>FFDFD3C0</v>
      </c>
      <c r="D1952" t="s">
        <v>124</v>
      </c>
      <c r="E1952">
        <v>5</v>
      </c>
      <c r="F1952">
        <v>1005</v>
      </c>
      <c r="G1952" t="s">
        <v>114</v>
      </c>
      <c r="J1952" t="s">
        <v>125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>"14:53:01.563"</f>
        <v>14:53:01.563</v>
      </c>
      <c r="T1952" t="str">
        <f>"14:53:01.063"</f>
        <v>14:53:01.063</v>
      </c>
      <c r="U1952" t="str">
        <f t="shared" si="96"/>
        <v>A0F928</v>
      </c>
      <c r="V1952">
        <v>0</v>
      </c>
      <c r="W1952">
        <v>0</v>
      </c>
      <c r="X1952">
        <v>2</v>
      </c>
      <c r="Z1952">
        <v>0</v>
      </c>
      <c r="AA1952">
        <v>9</v>
      </c>
      <c r="AB1952">
        <v>3</v>
      </c>
      <c r="AC1952">
        <v>0</v>
      </c>
      <c r="AD1952">
        <v>10</v>
      </c>
      <c r="AE1952">
        <v>0</v>
      </c>
      <c r="AF1952">
        <v>3</v>
      </c>
      <c r="AG1952">
        <v>2</v>
      </c>
      <c r="AH1952">
        <v>1</v>
      </c>
      <c r="AI1952" t="s">
        <v>1030</v>
      </c>
      <c r="AJ1952">
        <v>35.854889999999997</v>
      </c>
      <c r="AK1952" t="s">
        <v>1031</v>
      </c>
      <c r="AL1952">
        <v>-83.982003000000006</v>
      </c>
      <c r="AM1952">
        <v>25</v>
      </c>
      <c r="AN1952">
        <v>1475</v>
      </c>
      <c r="AO1952" t="s">
        <v>118</v>
      </c>
      <c r="AP1952">
        <v>82</v>
      </c>
      <c r="AQ1952">
        <v>80</v>
      </c>
      <c r="AR1952">
        <v>-256</v>
      </c>
      <c r="AZ1952">
        <v>300</v>
      </c>
      <c r="BA1952">
        <v>1</v>
      </c>
      <c r="BB1952" t="str">
        <f t="shared" si="95"/>
        <v xml:space="preserve">N162AM  </v>
      </c>
      <c r="BC1952">
        <v>1</v>
      </c>
      <c r="BE1952">
        <v>0</v>
      </c>
      <c r="BF1952">
        <v>0</v>
      </c>
      <c r="BG1952">
        <v>0</v>
      </c>
      <c r="BH1952">
        <v>1725</v>
      </c>
      <c r="BI1952">
        <v>1</v>
      </c>
      <c r="BJ1952">
        <v>1</v>
      </c>
      <c r="BK1952">
        <v>1</v>
      </c>
      <c r="BL1952">
        <v>0</v>
      </c>
      <c r="BO1952">
        <v>0</v>
      </c>
      <c r="BP1952">
        <v>0</v>
      </c>
      <c r="BW1952" t="str">
        <f>"14:53:01.567"</f>
        <v>14:53:01.567</v>
      </c>
      <c r="CJ1952">
        <v>3</v>
      </c>
      <c r="CK1952">
        <v>2</v>
      </c>
      <c r="CL1952">
        <v>0</v>
      </c>
      <c r="CM1952">
        <v>2</v>
      </c>
      <c r="CN1952">
        <v>0</v>
      </c>
      <c r="CO1952">
        <v>5</v>
      </c>
      <c r="CP1952" t="s">
        <v>119</v>
      </c>
      <c r="CQ1952">
        <v>232</v>
      </c>
      <c r="CR1952">
        <v>1</v>
      </c>
      <c r="CW1952">
        <v>15768725</v>
      </c>
      <c r="CY1952">
        <v>1</v>
      </c>
      <c r="CZ1952">
        <v>0</v>
      </c>
      <c r="DA1952">
        <v>1</v>
      </c>
      <c r="DB1952">
        <v>0</v>
      </c>
      <c r="DC1952">
        <v>0</v>
      </c>
      <c r="DD1952">
        <v>1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>"12/16/2021 14:53:01.806"</f>
        <v>12/16/2021 14:53:01.806</v>
      </c>
      <c r="C1953" t="str">
        <f t="shared" si="94"/>
        <v>FFDFD3C0</v>
      </c>
      <c r="D1953" t="s">
        <v>113</v>
      </c>
      <c r="E1953">
        <v>8</v>
      </c>
      <c r="H1953">
        <v>176</v>
      </c>
      <c r="I1953" t="s">
        <v>114</v>
      </c>
      <c r="J1953" t="s">
        <v>115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>"14:53:01.563"</f>
        <v>14:53:01.563</v>
      </c>
      <c r="T1953" t="str">
        <f>"14:53:01.063"</f>
        <v>14:53:01.063</v>
      </c>
      <c r="U1953" t="str">
        <f t="shared" si="96"/>
        <v>A0F928</v>
      </c>
      <c r="V1953">
        <v>0</v>
      </c>
      <c r="W1953">
        <v>0</v>
      </c>
      <c r="X1953">
        <v>2</v>
      </c>
      <c r="Z1953">
        <v>0</v>
      </c>
      <c r="AA1953">
        <v>9</v>
      </c>
      <c r="AB1953">
        <v>3</v>
      </c>
      <c r="AC1953">
        <v>0</v>
      </c>
      <c r="AD1953">
        <v>10</v>
      </c>
      <c r="AE1953">
        <v>0</v>
      </c>
      <c r="AF1953">
        <v>3</v>
      </c>
      <c r="AG1953">
        <v>2</v>
      </c>
      <c r="AH1953">
        <v>1</v>
      </c>
      <c r="AI1953" t="s">
        <v>1030</v>
      </c>
      <c r="AJ1953">
        <v>35.854889999999997</v>
      </c>
      <c r="AK1953" t="s">
        <v>1031</v>
      </c>
      <c r="AL1953">
        <v>-83.982003000000006</v>
      </c>
      <c r="AM1953">
        <v>25</v>
      </c>
      <c r="AN1953">
        <v>1475</v>
      </c>
      <c r="AO1953" t="s">
        <v>118</v>
      </c>
      <c r="AP1953">
        <v>82</v>
      </c>
      <c r="AQ1953">
        <v>80</v>
      </c>
      <c r="AR1953">
        <v>-256</v>
      </c>
      <c r="AZ1953">
        <v>300</v>
      </c>
      <c r="BA1953">
        <v>1</v>
      </c>
      <c r="BB1953" t="str">
        <f t="shared" si="95"/>
        <v xml:space="preserve">N162AM  </v>
      </c>
      <c r="BC1953">
        <v>1</v>
      </c>
      <c r="BE1953">
        <v>0</v>
      </c>
      <c r="BF1953">
        <v>0</v>
      </c>
      <c r="BG1953">
        <v>0</v>
      </c>
      <c r="BH1953">
        <v>1725</v>
      </c>
      <c r="BI1953">
        <v>1</v>
      </c>
      <c r="BJ1953">
        <v>1</v>
      </c>
      <c r="BK1953">
        <v>1</v>
      </c>
      <c r="BL1953">
        <v>0</v>
      </c>
      <c r="BO1953">
        <v>0</v>
      </c>
      <c r="BP1953">
        <v>0</v>
      </c>
      <c r="BW1953" t="str">
        <f>"14:53:01.567"</f>
        <v>14:53:01.567</v>
      </c>
      <c r="CJ1953">
        <v>3</v>
      </c>
      <c r="CK1953">
        <v>2</v>
      </c>
      <c r="CL1953">
        <v>0</v>
      </c>
      <c r="CM1953">
        <v>2</v>
      </c>
      <c r="CN1953">
        <v>0</v>
      </c>
      <c r="CO1953">
        <v>5</v>
      </c>
      <c r="CP1953" t="s">
        <v>119</v>
      </c>
      <c r="CQ1953">
        <v>232</v>
      </c>
      <c r="CR1953">
        <v>1</v>
      </c>
      <c r="CW1953">
        <v>15768725</v>
      </c>
      <c r="CY1953">
        <v>1</v>
      </c>
      <c r="CZ1953">
        <v>0</v>
      </c>
      <c r="DA1953">
        <v>1</v>
      </c>
      <c r="DB1953">
        <v>0</v>
      </c>
      <c r="DC1953">
        <v>0</v>
      </c>
      <c r="DD1953">
        <v>1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>"12/16/2021 14:53:02.759"</f>
        <v>12/16/2021 14:53:02.759</v>
      </c>
      <c r="C1954" t="str">
        <f t="shared" si="94"/>
        <v>FFDFD3C0</v>
      </c>
      <c r="D1954" t="s">
        <v>124</v>
      </c>
      <c r="E1954">
        <v>5</v>
      </c>
      <c r="F1954">
        <v>1005</v>
      </c>
      <c r="G1954" t="s">
        <v>114</v>
      </c>
      <c r="J1954" t="s">
        <v>125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>"14:53:02.547"</f>
        <v>14:53:02.547</v>
      </c>
      <c r="T1954" t="str">
        <f>"14:53:02.147"</f>
        <v>14:53:02.147</v>
      </c>
      <c r="U1954" t="str">
        <f t="shared" si="96"/>
        <v>A0F928</v>
      </c>
      <c r="V1954">
        <v>0</v>
      </c>
      <c r="W1954">
        <v>0</v>
      </c>
      <c r="X1954">
        <v>2</v>
      </c>
      <c r="Z1954">
        <v>0</v>
      </c>
      <c r="AA1954">
        <v>9</v>
      </c>
      <c r="AB1954">
        <v>3</v>
      </c>
      <c r="AC1954">
        <v>0</v>
      </c>
      <c r="AD1954">
        <v>10</v>
      </c>
      <c r="AE1954">
        <v>0</v>
      </c>
      <c r="AF1954">
        <v>3</v>
      </c>
      <c r="AG1954">
        <v>2</v>
      </c>
      <c r="AH1954">
        <v>1</v>
      </c>
      <c r="AI1954" t="s">
        <v>1032</v>
      </c>
      <c r="AJ1954">
        <v>35.855234000000003</v>
      </c>
      <c r="AK1954" t="s">
        <v>1033</v>
      </c>
      <c r="AL1954">
        <v>-83.981594999999999</v>
      </c>
      <c r="AM1954">
        <v>25</v>
      </c>
      <c r="AN1954">
        <v>1475</v>
      </c>
      <c r="AO1954" t="s">
        <v>118</v>
      </c>
      <c r="AP1954">
        <v>81</v>
      </c>
      <c r="AQ1954">
        <v>79</v>
      </c>
      <c r="AR1954">
        <v>-256</v>
      </c>
      <c r="AZ1954">
        <v>300</v>
      </c>
      <c r="BA1954">
        <v>1</v>
      </c>
      <c r="BB1954" t="str">
        <f t="shared" si="95"/>
        <v xml:space="preserve">N162AM  </v>
      </c>
      <c r="BC1954">
        <v>1</v>
      </c>
      <c r="BE1954">
        <v>0</v>
      </c>
      <c r="BF1954">
        <v>0</v>
      </c>
      <c r="BG1954">
        <v>0</v>
      </c>
      <c r="BH1954">
        <v>1725</v>
      </c>
      <c r="BI1954">
        <v>1</v>
      </c>
      <c r="BJ1954">
        <v>1</v>
      </c>
      <c r="BK1954">
        <v>1</v>
      </c>
      <c r="BL1954">
        <v>0</v>
      </c>
      <c r="BO1954">
        <v>0</v>
      </c>
      <c r="BP1954">
        <v>0</v>
      </c>
      <c r="BW1954" t="str">
        <f>"14:53:02.550"</f>
        <v>14:53:02.550</v>
      </c>
      <c r="CJ1954">
        <v>3</v>
      </c>
      <c r="CK1954">
        <v>2</v>
      </c>
      <c r="CL1954">
        <v>0</v>
      </c>
      <c r="CM1954">
        <v>2</v>
      </c>
      <c r="CN1954">
        <v>0</v>
      </c>
      <c r="CO1954">
        <v>5</v>
      </c>
      <c r="CP1954" t="s">
        <v>119</v>
      </c>
      <c r="CQ1954">
        <v>232</v>
      </c>
      <c r="CR1954">
        <v>2</v>
      </c>
      <c r="CW1954">
        <v>6985145</v>
      </c>
      <c r="CY1954">
        <v>1</v>
      </c>
      <c r="CZ1954">
        <v>0</v>
      </c>
      <c r="DA1954">
        <v>0</v>
      </c>
      <c r="DB1954">
        <v>0</v>
      </c>
      <c r="DC1954">
        <v>0</v>
      </c>
      <c r="DD1954">
        <v>1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>"12/16/2021 14:53:02.759"</f>
        <v>12/16/2021 14:53:02.759</v>
      </c>
      <c r="C1955" t="str">
        <f t="shared" si="94"/>
        <v>FFDFD3C0</v>
      </c>
      <c r="D1955" t="s">
        <v>133</v>
      </c>
      <c r="E1955">
        <v>44</v>
      </c>
      <c r="H1955">
        <v>131</v>
      </c>
      <c r="I1955" t="s">
        <v>134</v>
      </c>
      <c r="J1955" t="s">
        <v>135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>"14:53:02.547"</f>
        <v>14:53:02.547</v>
      </c>
      <c r="T1955" t="str">
        <f>"14:53:02.147"</f>
        <v>14:53:02.147</v>
      </c>
      <c r="U1955" t="str">
        <f t="shared" si="96"/>
        <v>A0F928</v>
      </c>
      <c r="V1955">
        <v>0</v>
      </c>
      <c r="W1955">
        <v>0</v>
      </c>
      <c r="X1955">
        <v>2</v>
      </c>
      <c r="Z1955">
        <v>0</v>
      </c>
      <c r="AA1955">
        <v>9</v>
      </c>
      <c r="AB1955">
        <v>3</v>
      </c>
      <c r="AC1955">
        <v>0</v>
      </c>
      <c r="AD1955">
        <v>10</v>
      </c>
      <c r="AE1955">
        <v>0</v>
      </c>
      <c r="AF1955">
        <v>3</v>
      </c>
      <c r="AG1955">
        <v>2</v>
      </c>
      <c r="AH1955">
        <v>1</v>
      </c>
      <c r="AI1955" t="s">
        <v>1032</v>
      </c>
      <c r="AJ1955">
        <v>35.855234000000003</v>
      </c>
      <c r="AK1955" t="s">
        <v>1033</v>
      </c>
      <c r="AL1955">
        <v>-83.981594999999999</v>
      </c>
      <c r="AM1955">
        <v>25</v>
      </c>
      <c r="AN1955">
        <v>1475</v>
      </c>
      <c r="AO1955" t="s">
        <v>118</v>
      </c>
      <c r="AP1955">
        <v>81</v>
      </c>
      <c r="AQ1955">
        <v>79</v>
      </c>
      <c r="AR1955">
        <v>-256</v>
      </c>
      <c r="AZ1955">
        <v>300</v>
      </c>
      <c r="BA1955">
        <v>1</v>
      </c>
      <c r="BB1955" t="str">
        <f t="shared" si="95"/>
        <v xml:space="preserve">N162AM  </v>
      </c>
      <c r="BC1955">
        <v>1</v>
      </c>
      <c r="BE1955">
        <v>0</v>
      </c>
      <c r="BF1955">
        <v>0</v>
      </c>
      <c r="BG1955">
        <v>0</v>
      </c>
      <c r="BH1955">
        <v>1725</v>
      </c>
      <c r="BI1955">
        <v>1</v>
      </c>
      <c r="BJ1955">
        <v>1</v>
      </c>
      <c r="BK1955">
        <v>1</v>
      </c>
      <c r="BL1955">
        <v>0</v>
      </c>
      <c r="BO1955">
        <v>0</v>
      </c>
      <c r="BP1955">
        <v>0</v>
      </c>
      <c r="BW1955" t="str">
        <f>"14:53:02.550"</f>
        <v>14:53:02.550</v>
      </c>
      <c r="CJ1955">
        <v>3</v>
      </c>
      <c r="CK1955">
        <v>2</v>
      </c>
      <c r="CL1955">
        <v>0</v>
      </c>
      <c r="CM1955">
        <v>2</v>
      </c>
      <c r="CN1955">
        <v>0</v>
      </c>
      <c r="CO1955">
        <v>5</v>
      </c>
      <c r="CP1955" t="s">
        <v>119</v>
      </c>
      <c r="CQ1955">
        <v>232</v>
      </c>
      <c r="CR1955">
        <v>2</v>
      </c>
      <c r="CW1955">
        <v>6985145</v>
      </c>
      <c r="CY1955">
        <v>1</v>
      </c>
      <c r="CZ1955">
        <v>0</v>
      </c>
      <c r="DA1955">
        <v>1</v>
      </c>
      <c r="DB1955">
        <v>0</v>
      </c>
      <c r="DC1955">
        <v>0</v>
      </c>
      <c r="DD1955">
        <v>1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>"12/16/2021 14:53:02.774"</f>
        <v>12/16/2021 14:53:02.774</v>
      </c>
      <c r="C1956" t="str">
        <f t="shared" si="94"/>
        <v>FFDFD3C0</v>
      </c>
      <c r="D1956" t="s">
        <v>113</v>
      </c>
      <c r="E1956">
        <v>8</v>
      </c>
      <c r="H1956">
        <v>176</v>
      </c>
      <c r="I1956" t="s">
        <v>114</v>
      </c>
      <c r="J1956" t="s">
        <v>115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>"14:53:02.547"</f>
        <v>14:53:02.547</v>
      </c>
      <c r="T1956" t="str">
        <f>"14:53:02.147"</f>
        <v>14:53:02.147</v>
      </c>
      <c r="U1956" t="str">
        <f t="shared" si="96"/>
        <v>A0F928</v>
      </c>
      <c r="V1956">
        <v>0</v>
      </c>
      <c r="W1956">
        <v>0</v>
      </c>
      <c r="X1956">
        <v>2</v>
      </c>
      <c r="Z1956">
        <v>0</v>
      </c>
      <c r="AA1956">
        <v>9</v>
      </c>
      <c r="AB1956">
        <v>3</v>
      </c>
      <c r="AC1956">
        <v>0</v>
      </c>
      <c r="AD1956">
        <v>10</v>
      </c>
      <c r="AE1956">
        <v>0</v>
      </c>
      <c r="AF1956">
        <v>3</v>
      </c>
      <c r="AG1956">
        <v>2</v>
      </c>
      <c r="AH1956">
        <v>1</v>
      </c>
      <c r="AI1956" t="s">
        <v>1032</v>
      </c>
      <c r="AJ1956">
        <v>35.855234000000003</v>
      </c>
      <c r="AK1956" t="s">
        <v>1033</v>
      </c>
      <c r="AL1956">
        <v>-83.981594999999999</v>
      </c>
      <c r="AM1956">
        <v>25</v>
      </c>
      <c r="AN1956">
        <v>1475</v>
      </c>
      <c r="AO1956" t="s">
        <v>118</v>
      </c>
      <c r="AP1956">
        <v>81</v>
      </c>
      <c r="AQ1956">
        <v>79</v>
      </c>
      <c r="AR1956">
        <v>-256</v>
      </c>
      <c r="AZ1956">
        <v>300</v>
      </c>
      <c r="BA1956">
        <v>1</v>
      </c>
      <c r="BB1956" t="str">
        <f t="shared" si="95"/>
        <v xml:space="preserve">N162AM  </v>
      </c>
      <c r="BC1956">
        <v>1</v>
      </c>
      <c r="BE1956">
        <v>0</v>
      </c>
      <c r="BF1956">
        <v>0</v>
      </c>
      <c r="BG1956">
        <v>0</v>
      </c>
      <c r="BH1956">
        <v>1725</v>
      </c>
      <c r="BI1956">
        <v>1</v>
      </c>
      <c r="BJ1956">
        <v>1</v>
      </c>
      <c r="BK1956">
        <v>1</v>
      </c>
      <c r="BL1956">
        <v>0</v>
      </c>
      <c r="BO1956">
        <v>0</v>
      </c>
      <c r="BP1956">
        <v>0</v>
      </c>
      <c r="BW1956" t="str">
        <f>"14:53:02.550"</f>
        <v>14:53:02.550</v>
      </c>
      <c r="CJ1956">
        <v>3</v>
      </c>
      <c r="CK1956">
        <v>2</v>
      </c>
      <c r="CL1956">
        <v>0</v>
      </c>
      <c r="CM1956">
        <v>2</v>
      </c>
      <c r="CN1956">
        <v>0</v>
      </c>
      <c r="CO1956">
        <v>5</v>
      </c>
      <c r="CP1956" t="s">
        <v>119</v>
      </c>
      <c r="CQ1956">
        <v>232</v>
      </c>
      <c r="CR1956">
        <v>2</v>
      </c>
      <c r="CW1956">
        <v>6985145</v>
      </c>
      <c r="CY1956">
        <v>1</v>
      </c>
      <c r="CZ1956">
        <v>0</v>
      </c>
      <c r="DA1956">
        <v>1</v>
      </c>
      <c r="DB1956">
        <v>0</v>
      </c>
      <c r="DC1956">
        <v>0</v>
      </c>
      <c r="DD1956">
        <v>1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>"12/16/2021 14:53:02.774"</f>
        <v>12/16/2021 14:53:02.774</v>
      </c>
      <c r="C1957" t="str">
        <f t="shared" si="94"/>
        <v>FFDFD3C0</v>
      </c>
      <c r="D1957" t="s">
        <v>124</v>
      </c>
      <c r="E1957">
        <v>10</v>
      </c>
      <c r="F1957">
        <v>1010</v>
      </c>
      <c r="G1957" t="s">
        <v>130</v>
      </c>
      <c r="J1957" t="s">
        <v>125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>"14:53:02.547"</f>
        <v>14:53:02.547</v>
      </c>
      <c r="T1957" t="str">
        <f>"14:53:02.147"</f>
        <v>14:53:02.147</v>
      </c>
      <c r="U1957" t="str">
        <f t="shared" si="96"/>
        <v>A0F928</v>
      </c>
      <c r="V1957">
        <v>0</v>
      </c>
      <c r="W1957">
        <v>0</v>
      </c>
      <c r="X1957">
        <v>2</v>
      </c>
      <c r="Z1957">
        <v>0</v>
      </c>
      <c r="AA1957">
        <v>9</v>
      </c>
      <c r="AB1957">
        <v>3</v>
      </c>
      <c r="AC1957">
        <v>0</v>
      </c>
      <c r="AD1957">
        <v>10</v>
      </c>
      <c r="AE1957">
        <v>0</v>
      </c>
      <c r="AF1957">
        <v>3</v>
      </c>
      <c r="AG1957">
        <v>2</v>
      </c>
      <c r="AH1957">
        <v>1</v>
      </c>
      <c r="AI1957" t="s">
        <v>1032</v>
      </c>
      <c r="AJ1957">
        <v>35.855234000000003</v>
      </c>
      <c r="AK1957" t="s">
        <v>1033</v>
      </c>
      <c r="AL1957">
        <v>-83.981594999999999</v>
      </c>
      <c r="AM1957">
        <v>25</v>
      </c>
      <c r="AN1957">
        <v>1475</v>
      </c>
      <c r="AO1957" t="s">
        <v>118</v>
      </c>
      <c r="AP1957">
        <v>81</v>
      </c>
      <c r="AQ1957">
        <v>79</v>
      </c>
      <c r="AR1957">
        <v>-256</v>
      </c>
      <c r="AZ1957">
        <v>300</v>
      </c>
      <c r="BA1957">
        <v>1</v>
      </c>
      <c r="BB1957" t="str">
        <f t="shared" si="95"/>
        <v xml:space="preserve">N162AM  </v>
      </c>
      <c r="BC1957">
        <v>1</v>
      </c>
      <c r="BE1957">
        <v>0</v>
      </c>
      <c r="BF1957">
        <v>0</v>
      </c>
      <c r="BG1957">
        <v>0</v>
      </c>
      <c r="BH1957">
        <v>1725</v>
      </c>
      <c r="BI1957">
        <v>1</v>
      </c>
      <c r="BJ1957">
        <v>1</v>
      </c>
      <c r="BK1957">
        <v>1</v>
      </c>
      <c r="BL1957">
        <v>0</v>
      </c>
      <c r="BO1957">
        <v>0</v>
      </c>
      <c r="BP1957">
        <v>0</v>
      </c>
      <c r="BW1957" t="str">
        <f>"14:53:02.550"</f>
        <v>14:53:02.550</v>
      </c>
      <c r="CJ1957">
        <v>3</v>
      </c>
      <c r="CK1957">
        <v>2</v>
      </c>
      <c r="CL1957">
        <v>0</v>
      </c>
      <c r="CM1957">
        <v>2</v>
      </c>
      <c r="CN1957">
        <v>0</v>
      </c>
      <c r="CO1957">
        <v>5</v>
      </c>
      <c r="CP1957" t="s">
        <v>119</v>
      </c>
      <c r="CQ1957">
        <v>232</v>
      </c>
      <c r="CR1957">
        <v>2</v>
      </c>
      <c r="CW1957">
        <v>6985145</v>
      </c>
      <c r="CY1957">
        <v>1</v>
      </c>
      <c r="CZ1957">
        <v>0</v>
      </c>
      <c r="DA1957">
        <v>1</v>
      </c>
      <c r="DB1957">
        <v>0</v>
      </c>
      <c r="DC1957">
        <v>0</v>
      </c>
      <c r="DD1957">
        <v>1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>"12/16/2021 14:53:03.915"</f>
        <v>12/16/2021 14:53:03.915</v>
      </c>
      <c r="C1958" t="str">
        <f t="shared" si="94"/>
        <v>FFDFD3C0</v>
      </c>
      <c r="D1958" t="s">
        <v>133</v>
      </c>
      <c r="E1958">
        <v>44</v>
      </c>
      <c r="H1958">
        <v>131</v>
      </c>
      <c r="I1958" t="s">
        <v>134</v>
      </c>
      <c r="J1958" t="s">
        <v>135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>"14:53:03.695"</f>
        <v>14:53:03.695</v>
      </c>
      <c r="T1958" t="str">
        <f>"14:53:03.195"</f>
        <v>14:53:03.195</v>
      </c>
      <c r="U1958" t="str">
        <f t="shared" si="96"/>
        <v>A0F928</v>
      </c>
      <c r="V1958">
        <v>0</v>
      </c>
      <c r="W1958">
        <v>0</v>
      </c>
      <c r="X1958">
        <v>2</v>
      </c>
      <c r="Z1958">
        <v>0</v>
      </c>
      <c r="AA1958">
        <v>9</v>
      </c>
      <c r="AB1958">
        <v>3</v>
      </c>
      <c r="AC1958">
        <v>0</v>
      </c>
      <c r="AD1958">
        <v>10</v>
      </c>
      <c r="AE1958">
        <v>0</v>
      </c>
      <c r="AF1958">
        <v>3</v>
      </c>
      <c r="AG1958">
        <v>2</v>
      </c>
      <c r="AH1958">
        <v>1</v>
      </c>
      <c r="AI1958" t="s">
        <v>1034</v>
      </c>
      <c r="AJ1958">
        <v>35.855640999999999</v>
      </c>
      <c r="AK1958" t="s">
        <v>1035</v>
      </c>
      <c r="AL1958">
        <v>-83.981015999999997</v>
      </c>
      <c r="AM1958">
        <v>25</v>
      </c>
      <c r="AN1958">
        <v>1450</v>
      </c>
      <c r="AO1958" t="s">
        <v>118</v>
      </c>
      <c r="AP1958">
        <v>81</v>
      </c>
      <c r="AQ1958">
        <v>79</v>
      </c>
      <c r="AR1958">
        <v>-320</v>
      </c>
      <c r="AZ1958">
        <v>300</v>
      </c>
      <c r="BA1958">
        <v>1</v>
      </c>
      <c r="BB1958" t="str">
        <f t="shared" si="95"/>
        <v xml:space="preserve">N162AM  </v>
      </c>
      <c r="BC1958">
        <v>1</v>
      </c>
      <c r="BE1958">
        <v>0</v>
      </c>
      <c r="BF1958">
        <v>0</v>
      </c>
      <c r="BG1958">
        <v>0</v>
      </c>
      <c r="BH1958">
        <v>1725</v>
      </c>
      <c r="BI1958">
        <v>1</v>
      </c>
      <c r="BJ1958">
        <v>1</v>
      </c>
      <c r="BK1958">
        <v>1</v>
      </c>
      <c r="BL1958">
        <v>0</v>
      </c>
      <c r="BO1958">
        <v>0</v>
      </c>
      <c r="BP1958">
        <v>0</v>
      </c>
      <c r="BW1958" t="str">
        <f>"14:53:03.698"</f>
        <v>14:53:03.698</v>
      </c>
      <c r="CJ1958">
        <v>3</v>
      </c>
      <c r="CK1958">
        <v>2</v>
      </c>
      <c r="CL1958">
        <v>0</v>
      </c>
      <c r="CM1958">
        <v>2</v>
      </c>
      <c r="CN1958">
        <v>0</v>
      </c>
      <c r="CO1958">
        <v>6</v>
      </c>
      <c r="CP1958" t="s">
        <v>119</v>
      </c>
      <c r="CQ1958">
        <v>232</v>
      </c>
      <c r="CR1958">
        <v>2</v>
      </c>
      <c r="CW1958">
        <v>6986989</v>
      </c>
      <c r="CY1958">
        <v>1</v>
      </c>
      <c r="CZ1958">
        <v>0</v>
      </c>
      <c r="DA1958">
        <v>0</v>
      </c>
      <c r="DB1958">
        <v>0</v>
      </c>
      <c r="DC1958">
        <v>0</v>
      </c>
      <c r="DD1958">
        <v>1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>"12/16/2021 14:53:03.915"</f>
        <v>12/16/2021 14:53:03.915</v>
      </c>
      <c r="C1959" t="str">
        <f t="shared" si="94"/>
        <v>FFDFD3C0</v>
      </c>
      <c r="D1959" t="s">
        <v>124</v>
      </c>
      <c r="E1959">
        <v>5</v>
      </c>
      <c r="F1959">
        <v>1005</v>
      </c>
      <c r="G1959" t="s">
        <v>114</v>
      </c>
      <c r="J1959" t="s">
        <v>125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>"14:53:03.695"</f>
        <v>14:53:03.695</v>
      </c>
      <c r="T1959" t="str">
        <f>"14:53:03.195"</f>
        <v>14:53:03.195</v>
      </c>
      <c r="U1959" t="str">
        <f t="shared" si="96"/>
        <v>A0F928</v>
      </c>
      <c r="V1959">
        <v>0</v>
      </c>
      <c r="W1959">
        <v>0</v>
      </c>
      <c r="X1959">
        <v>2</v>
      </c>
      <c r="Z1959">
        <v>0</v>
      </c>
      <c r="AA1959">
        <v>9</v>
      </c>
      <c r="AB1959">
        <v>3</v>
      </c>
      <c r="AC1959">
        <v>0</v>
      </c>
      <c r="AD1959">
        <v>10</v>
      </c>
      <c r="AE1959">
        <v>0</v>
      </c>
      <c r="AF1959">
        <v>3</v>
      </c>
      <c r="AG1959">
        <v>2</v>
      </c>
      <c r="AH1959">
        <v>1</v>
      </c>
      <c r="AI1959" t="s">
        <v>1034</v>
      </c>
      <c r="AJ1959">
        <v>35.855640999999999</v>
      </c>
      <c r="AK1959" t="s">
        <v>1035</v>
      </c>
      <c r="AL1959">
        <v>-83.981015999999997</v>
      </c>
      <c r="AM1959">
        <v>25</v>
      </c>
      <c r="AN1959">
        <v>1450</v>
      </c>
      <c r="AO1959" t="s">
        <v>118</v>
      </c>
      <c r="AP1959">
        <v>81</v>
      </c>
      <c r="AQ1959">
        <v>79</v>
      </c>
      <c r="AR1959">
        <v>-320</v>
      </c>
      <c r="AZ1959">
        <v>300</v>
      </c>
      <c r="BA1959">
        <v>1</v>
      </c>
      <c r="BB1959" t="str">
        <f t="shared" si="95"/>
        <v xml:space="preserve">N162AM  </v>
      </c>
      <c r="BC1959">
        <v>1</v>
      </c>
      <c r="BE1959">
        <v>0</v>
      </c>
      <c r="BF1959">
        <v>0</v>
      </c>
      <c r="BG1959">
        <v>0</v>
      </c>
      <c r="BH1959">
        <v>1725</v>
      </c>
      <c r="BI1959">
        <v>1</v>
      </c>
      <c r="BJ1959">
        <v>1</v>
      </c>
      <c r="BK1959">
        <v>1</v>
      </c>
      <c r="BL1959">
        <v>0</v>
      </c>
      <c r="BO1959">
        <v>0</v>
      </c>
      <c r="BP1959">
        <v>0</v>
      </c>
      <c r="BW1959" t="str">
        <f>"14:53:03.698"</f>
        <v>14:53:03.698</v>
      </c>
      <c r="CJ1959">
        <v>3</v>
      </c>
      <c r="CK1959">
        <v>2</v>
      </c>
      <c r="CL1959">
        <v>0</v>
      </c>
      <c r="CM1959">
        <v>2</v>
      </c>
      <c r="CN1959">
        <v>0</v>
      </c>
      <c r="CO1959">
        <v>6</v>
      </c>
      <c r="CP1959" t="s">
        <v>119</v>
      </c>
      <c r="CQ1959">
        <v>232</v>
      </c>
      <c r="CR1959">
        <v>2</v>
      </c>
      <c r="CW1959">
        <v>6986989</v>
      </c>
      <c r="CY1959">
        <v>1</v>
      </c>
      <c r="CZ1959">
        <v>0</v>
      </c>
      <c r="DA1959">
        <v>1</v>
      </c>
      <c r="DB1959">
        <v>0</v>
      </c>
      <c r="DC1959">
        <v>0</v>
      </c>
      <c r="DD1959">
        <v>1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3">
      <c r="A1960" t="str">
        <f>"12/16/2021 14:53:03.946"</f>
        <v>12/16/2021 14:53:03.946</v>
      </c>
      <c r="C1960" t="str">
        <f t="shared" si="94"/>
        <v>FFDFD3C0</v>
      </c>
      <c r="D1960" t="s">
        <v>124</v>
      </c>
      <c r="E1960">
        <v>10</v>
      </c>
      <c r="F1960">
        <v>1010</v>
      </c>
      <c r="G1960" t="s">
        <v>130</v>
      </c>
      <c r="J1960" t="s">
        <v>125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>"14:53:03.695"</f>
        <v>14:53:03.695</v>
      </c>
      <c r="T1960" t="str">
        <f>"14:53:03.195"</f>
        <v>14:53:03.195</v>
      </c>
      <c r="U1960" t="str">
        <f t="shared" si="96"/>
        <v>A0F928</v>
      </c>
      <c r="V1960">
        <v>0</v>
      </c>
      <c r="W1960">
        <v>0</v>
      </c>
      <c r="X1960">
        <v>2</v>
      </c>
      <c r="Z1960">
        <v>0</v>
      </c>
      <c r="AA1960">
        <v>9</v>
      </c>
      <c r="AB1960">
        <v>3</v>
      </c>
      <c r="AC1960">
        <v>0</v>
      </c>
      <c r="AD1960">
        <v>10</v>
      </c>
      <c r="AE1960">
        <v>0</v>
      </c>
      <c r="AF1960">
        <v>3</v>
      </c>
      <c r="AG1960">
        <v>2</v>
      </c>
      <c r="AH1960">
        <v>1</v>
      </c>
      <c r="AI1960" t="s">
        <v>1034</v>
      </c>
      <c r="AJ1960">
        <v>35.855640999999999</v>
      </c>
      <c r="AK1960" t="s">
        <v>1035</v>
      </c>
      <c r="AL1960">
        <v>-83.981015999999997</v>
      </c>
      <c r="AM1960">
        <v>25</v>
      </c>
      <c r="AN1960">
        <v>1450</v>
      </c>
      <c r="AO1960" t="s">
        <v>118</v>
      </c>
      <c r="AP1960">
        <v>81</v>
      </c>
      <c r="AQ1960">
        <v>79</v>
      </c>
      <c r="AR1960">
        <v>-320</v>
      </c>
      <c r="AZ1960">
        <v>300</v>
      </c>
      <c r="BA1960">
        <v>1</v>
      </c>
      <c r="BB1960" t="str">
        <f t="shared" si="95"/>
        <v xml:space="preserve">N162AM  </v>
      </c>
      <c r="BC1960">
        <v>1</v>
      </c>
      <c r="BE1960">
        <v>0</v>
      </c>
      <c r="BF1960">
        <v>0</v>
      </c>
      <c r="BG1960">
        <v>0</v>
      </c>
      <c r="BH1960">
        <v>1725</v>
      </c>
      <c r="BI1960">
        <v>1</v>
      </c>
      <c r="BJ1960">
        <v>1</v>
      </c>
      <c r="BK1960">
        <v>1</v>
      </c>
      <c r="BL1960">
        <v>0</v>
      </c>
      <c r="BO1960">
        <v>0</v>
      </c>
      <c r="BP1960">
        <v>0</v>
      </c>
      <c r="BW1960" t="str">
        <f>"14:53:03.698"</f>
        <v>14:53:03.698</v>
      </c>
      <c r="CJ1960">
        <v>3</v>
      </c>
      <c r="CK1960">
        <v>2</v>
      </c>
      <c r="CL1960">
        <v>0</v>
      </c>
      <c r="CM1960">
        <v>2</v>
      </c>
      <c r="CN1960">
        <v>0</v>
      </c>
      <c r="CO1960">
        <v>6</v>
      </c>
      <c r="CP1960" t="s">
        <v>119</v>
      </c>
      <c r="CQ1960">
        <v>232</v>
      </c>
      <c r="CR1960">
        <v>2</v>
      </c>
      <c r="CW1960">
        <v>6986989</v>
      </c>
      <c r="CY1960">
        <v>1</v>
      </c>
      <c r="CZ1960">
        <v>0</v>
      </c>
      <c r="DA1960">
        <v>1</v>
      </c>
      <c r="DB1960">
        <v>0</v>
      </c>
      <c r="DC1960">
        <v>0</v>
      </c>
      <c r="DD1960">
        <v>1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3">
      <c r="A1961" t="str">
        <f>"12/16/2021 14:53:03.946"</f>
        <v>12/16/2021 14:53:03.946</v>
      </c>
      <c r="C1961" t="str">
        <f t="shared" si="94"/>
        <v>FFDFD3C0</v>
      </c>
      <c r="D1961" t="s">
        <v>113</v>
      </c>
      <c r="E1961">
        <v>8</v>
      </c>
      <c r="H1961">
        <v>176</v>
      </c>
      <c r="I1961" t="s">
        <v>114</v>
      </c>
      <c r="J1961" t="s">
        <v>115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>"14:53:03.695"</f>
        <v>14:53:03.695</v>
      </c>
      <c r="T1961" t="str">
        <f>"14:53:03.195"</f>
        <v>14:53:03.195</v>
      </c>
      <c r="U1961" t="str">
        <f t="shared" si="96"/>
        <v>A0F928</v>
      </c>
      <c r="V1961">
        <v>0</v>
      </c>
      <c r="W1961">
        <v>0</v>
      </c>
      <c r="X1961">
        <v>2</v>
      </c>
      <c r="Z1961">
        <v>0</v>
      </c>
      <c r="AA1961">
        <v>9</v>
      </c>
      <c r="AB1961">
        <v>3</v>
      </c>
      <c r="AC1961">
        <v>0</v>
      </c>
      <c r="AD1961">
        <v>10</v>
      </c>
      <c r="AE1961">
        <v>0</v>
      </c>
      <c r="AF1961">
        <v>3</v>
      </c>
      <c r="AG1961">
        <v>2</v>
      </c>
      <c r="AH1961">
        <v>1</v>
      </c>
      <c r="AI1961" t="s">
        <v>1034</v>
      </c>
      <c r="AJ1961">
        <v>35.855640999999999</v>
      </c>
      <c r="AK1961" t="s">
        <v>1035</v>
      </c>
      <c r="AL1961">
        <v>-83.981015999999997</v>
      </c>
      <c r="AM1961">
        <v>25</v>
      </c>
      <c r="AN1961">
        <v>1450</v>
      </c>
      <c r="AO1961" t="s">
        <v>118</v>
      </c>
      <c r="AP1961">
        <v>81</v>
      </c>
      <c r="AQ1961">
        <v>79</v>
      </c>
      <c r="AR1961">
        <v>-320</v>
      </c>
      <c r="AZ1961">
        <v>300</v>
      </c>
      <c r="BA1961">
        <v>1</v>
      </c>
      <c r="BB1961" t="str">
        <f t="shared" si="95"/>
        <v xml:space="preserve">N162AM  </v>
      </c>
      <c r="BC1961">
        <v>1</v>
      </c>
      <c r="BE1961">
        <v>0</v>
      </c>
      <c r="BF1961">
        <v>0</v>
      </c>
      <c r="BG1961">
        <v>0</v>
      </c>
      <c r="BH1961">
        <v>1725</v>
      </c>
      <c r="BI1961">
        <v>1</v>
      </c>
      <c r="BJ1961">
        <v>1</v>
      </c>
      <c r="BK1961">
        <v>1</v>
      </c>
      <c r="BL1961">
        <v>0</v>
      </c>
      <c r="BO1961">
        <v>0</v>
      </c>
      <c r="BP1961">
        <v>0</v>
      </c>
      <c r="BW1961" t="str">
        <f>"14:53:03.698"</f>
        <v>14:53:03.698</v>
      </c>
      <c r="CJ1961">
        <v>3</v>
      </c>
      <c r="CK1961">
        <v>2</v>
      </c>
      <c r="CL1961">
        <v>0</v>
      </c>
      <c r="CM1961">
        <v>2</v>
      </c>
      <c r="CN1961">
        <v>0</v>
      </c>
      <c r="CO1961">
        <v>6</v>
      </c>
      <c r="CP1961" t="s">
        <v>119</v>
      </c>
      <c r="CQ1961">
        <v>232</v>
      </c>
      <c r="CR1961">
        <v>2</v>
      </c>
      <c r="CW1961">
        <v>6986989</v>
      </c>
      <c r="CY1961">
        <v>1</v>
      </c>
      <c r="CZ1961">
        <v>0</v>
      </c>
      <c r="DA1961">
        <v>1</v>
      </c>
      <c r="DB1961">
        <v>0</v>
      </c>
      <c r="DC1961">
        <v>0</v>
      </c>
      <c r="DD1961">
        <v>1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3">
      <c r="A1962" t="str">
        <f>"12/16/2021 14:53:04.976"</f>
        <v>12/16/2021 14:53:04.976</v>
      </c>
      <c r="C1962" t="str">
        <f t="shared" si="94"/>
        <v>FFDFD3C0</v>
      </c>
      <c r="D1962" t="s">
        <v>124</v>
      </c>
      <c r="E1962">
        <v>5</v>
      </c>
      <c r="F1962">
        <v>1005</v>
      </c>
      <c r="G1962" t="s">
        <v>114</v>
      </c>
      <c r="J1962" t="s">
        <v>125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>"14:53:04.711"</f>
        <v>14:53:04.711</v>
      </c>
      <c r="T1962" t="str">
        <f>"14:53:04.211"</f>
        <v>14:53:04.211</v>
      </c>
      <c r="U1962" t="str">
        <f t="shared" si="96"/>
        <v>A0F928</v>
      </c>
      <c r="V1962">
        <v>0</v>
      </c>
      <c r="W1962">
        <v>0</v>
      </c>
      <c r="X1962">
        <v>2</v>
      </c>
      <c r="Z1962">
        <v>0</v>
      </c>
      <c r="AA1962">
        <v>9</v>
      </c>
      <c r="AB1962">
        <v>3</v>
      </c>
      <c r="AC1962">
        <v>0</v>
      </c>
      <c r="AD1962">
        <v>10</v>
      </c>
      <c r="AE1962">
        <v>0</v>
      </c>
      <c r="AF1962">
        <v>3</v>
      </c>
      <c r="AG1962">
        <v>2</v>
      </c>
      <c r="AH1962">
        <v>1</v>
      </c>
      <c r="AI1962" t="s">
        <v>1036</v>
      </c>
      <c r="AJ1962">
        <v>35.856028000000002</v>
      </c>
      <c r="AK1962" t="s">
        <v>1037</v>
      </c>
      <c r="AL1962">
        <v>-83.980543999999995</v>
      </c>
      <c r="AM1962">
        <v>25</v>
      </c>
      <c r="AN1962">
        <v>1450</v>
      </c>
      <c r="AO1962" t="s">
        <v>118</v>
      </c>
      <c r="AP1962">
        <v>82</v>
      </c>
      <c r="AQ1962">
        <v>78</v>
      </c>
      <c r="AR1962">
        <v>-320</v>
      </c>
      <c r="AZ1962">
        <v>300</v>
      </c>
      <c r="BA1962">
        <v>1</v>
      </c>
      <c r="BB1962" t="str">
        <f t="shared" si="95"/>
        <v xml:space="preserve">N162AM  </v>
      </c>
      <c r="BC1962">
        <v>1</v>
      </c>
      <c r="BE1962">
        <v>0</v>
      </c>
      <c r="BF1962">
        <v>0</v>
      </c>
      <c r="BG1962">
        <v>0</v>
      </c>
      <c r="BH1962">
        <v>1700</v>
      </c>
      <c r="BI1962">
        <v>1</v>
      </c>
      <c r="BJ1962">
        <v>1</v>
      </c>
      <c r="BK1962">
        <v>1</v>
      </c>
      <c r="BL1962">
        <v>0</v>
      </c>
      <c r="BO1962">
        <v>0</v>
      </c>
      <c r="BP1962">
        <v>0</v>
      </c>
      <c r="BW1962" t="str">
        <f>"14:53:04.716"</f>
        <v>14:53:04.716</v>
      </c>
      <c r="CJ1962">
        <v>3</v>
      </c>
      <c r="CK1962">
        <v>2</v>
      </c>
      <c r="CL1962">
        <v>0</v>
      </c>
      <c r="CM1962">
        <v>2</v>
      </c>
      <c r="CN1962">
        <v>0</v>
      </c>
      <c r="CO1962">
        <v>5</v>
      </c>
      <c r="CP1962" t="s">
        <v>119</v>
      </c>
      <c r="CQ1962">
        <v>232</v>
      </c>
      <c r="CR1962">
        <v>1</v>
      </c>
      <c r="CW1962">
        <v>15773481</v>
      </c>
      <c r="CY1962">
        <v>1</v>
      </c>
      <c r="CZ1962">
        <v>0</v>
      </c>
      <c r="DA1962">
        <v>0</v>
      </c>
      <c r="DB1962">
        <v>0</v>
      </c>
      <c r="DC1962">
        <v>0</v>
      </c>
      <c r="DD1962">
        <v>1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3">
      <c r="A1963" t="str">
        <f>"12/16/2021 14:53:04.976"</f>
        <v>12/16/2021 14:53:04.976</v>
      </c>
      <c r="C1963" t="str">
        <f t="shared" si="94"/>
        <v>FFDFD3C0</v>
      </c>
      <c r="D1963" t="s">
        <v>124</v>
      </c>
      <c r="E1963">
        <v>10</v>
      </c>
      <c r="F1963">
        <v>1010</v>
      </c>
      <c r="G1963" t="s">
        <v>130</v>
      </c>
      <c r="J1963" t="s">
        <v>125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>"14:53:04.711"</f>
        <v>14:53:04.711</v>
      </c>
      <c r="T1963" t="str">
        <f>"14:53:04.211"</f>
        <v>14:53:04.211</v>
      </c>
      <c r="U1963" t="str">
        <f t="shared" si="96"/>
        <v>A0F928</v>
      </c>
      <c r="V1963">
        <v>0</v>
      </c>
      <c r="W1963">
        <v>0</v>
      </c>
      <c r="X1963">
        <v>2</v>
      </c>
      <c r="Z1963">
        <v>0</v>
      </c>
      <c r="AA1963">
        <v>9</v>
      </c>
      <c r="AB1963">
        <v>3</v>
      </c>
      <c r="AC1963">
        <v>0</v>
      </c>
      <c r="AD1963">
        <v>10</v>
      </c>
      <c r="AE1963">
        <v>0</v>
      </c>
      <c r="AF1963">
        <v>3</v>
      </c>
      <c r="AG1963">
        <v>2</v>
      </c>
      <c r="AH1963">
        <v>1</v>
      </c>
      <c r="AI1963" t="s">
        <v>1036</v>
      </c>
      <c r="AJ1963">
        <v>35.856028000000002</v>
      </c>
      <c r="AK1963" t="s">
        <v>1037</v>
      </c>
      <c r="AL1963">
        <v>-83.980543999999995</v>
      </c>
      <c r="AM1963">
        <v>25</v>
      </c>
      <c r="AN1963">
        <v>1450</v>
      </c>
      <c r="AO1963" t="s">
        <v>118</v>
      </c>
      <c r="AP1963">
        <v>82</v>
      </c>
      <c r="AQ1963">
        <v>78</v>
      </c>
      <c r="AR1963">
        <v>-320</v>
      </c>
      <c r="AZ1963">
        <v>300</v>
      </c>
      <c r="BA1963">
        <v>1</v>
      </c>
      <c r="BB1963" t="str">
        <f t="shared" si="95"/>
        <v xml:space="preserve">N162AM  </v>
      </c>
      <c r="BC1963">
        <v>1</v>
      </c>
      <c r="BE1963">
        <v>0</v>
      </c>
      <c r="BF1963">
        <v>0</v>
      </c>
      <c r="BG1963">
        <v>0</v>
      </c>
      <c r="BH1963">
        <v>1700</v>
      </c>
      <c r="BI1963">
        <v>1</v>
      </c>
      <c r="BJ1963">
        <v>1</v>
      </c>
      <c r="BK1963">
        <v>1</v>
      </c>
      <c r="BL1963">
        <v>0</v>
      </c>
      <c r="BO1963">
        <v>0</v>
      </c>
      <c r="BP1963">
        <v>0</v>
      </c>
      <c r="BW1963" t="str">
        <f>"14:53:04.716"</f>
        <v>14:53:04.716</v>
      </c>
      <c r="CJ1963">
        <v>3</v>
      </c>
      <c r="CK1963">
        <v>2</v>
      </c>
      <c r="CL1963">
        <v>0</v>
      </c>
      <c r="CM1963">
        <v>2</v>
      </c>
      <c r="CN1963">
        <v>0</v>
      </c>
      <c r="CO1963">
        <v>5</v>
      </c>
      <c r="CP1963" t="s">
        <v>119</v>
      </c>
      <c r="CQ1963">
        <v>232</v>
      </c>
      <c r="CR1963">
        <v>1</v>
      </c>
      <c r="CW1963">
        <v>15773481</v>
      </c>
      <c r="CY1963">
        <v>1</v>
      </c>
      <c r="CZ1963">
        <v>0</v>
      </c>
      <c r="DA1963">
        <v>1</v>
      </c>
      <c r="DB1963">
        <v>0</v>
      </c>
      <c r="DC1963">
        <v>0</v>
      </c>
      <c r="DD1963">
        <v>1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3">
      <c r="A1964" t="str">
        <f>"12/16/2021 14:53:04.976"</f>
        <v>12/16/2021 14:53:04.976</v>
      </c>
      <c r="C1964" t="str">
        <f t="shared" si="94"/>
        <v>FFDFD3C0</v>
      </c>
      <c r="D1964" t="s">
        <v>133</v>
      </c>
      <c r="E1964">
        <v>44</v>
      </c>
      <c r="H1964">
        <v>131</v>
      </c>
      <c r="I1964" t="s">
        <v>134</v>
      </c>
      <c r="J1964" t="s">
        <v>135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>"14:53:04.711"</f>
        <v>14:53:04.711</v>
      </c>
      <c r="T1964" t="str">
        <f>"14:53:04.211"</f>
        <v>14:53:04.211</v>
      </c>
      <c r="U1964" t="str">
        <f t="shared" si="96"/>
        <v>A0F928</v>
      </c>
      <c r="V1964">
        <v>0</v>
      </c>
      <c r="W1964">
        <v>0</v>
      </c>
      <c r="X1964">
        <v>2</v>
      </c>
      <c r="Z1964">
        <v>0</v>
      </c>
      <c r="AA1964">
        <v>9</v>
      </c>
      <c r="AB1964">
        <v>3</v>
      </c>
      <c r="AC1964">
        <v>0</v>
      </c>
      <c r="AD1964">
        <v>10</v>
      </c>
      <c r="AE1964">
        <v>0</v>
      </c>
      <c r="AF1964">
        <v>3</v>
      </c>
      <c r="AG1964">
        <v>2</v>
      </c>
      <c r="AH1964">
        <v>1</v>
      </c>
      <c r="AI1964" t="s">
        <v>1036</v>
      </c>
      <c r="AJ1964">
        <v>35.856028000000002</v>
      </c>
      <c r="AK1964" t="s">
        <v>1037</v>
      </c>
      <c r="AL1964">
        <v>-83.980543999999995</v>
      </c>
      <c r="AM1964">
        <v>25</v>
      </c>
      <c r="AN1964">
        <v>1450</v>
      </c>
      <c r="AO1964" t="s">
        <v>118</v>
      </c>
      <c r="AP1964">
        <v>82</v>
      </c>
      <c r="AQ1964">
        <v>78</v>
      </c>
      <c r="AR1964">
        <v>-320</v>
      </c>
      <c r="AZ1964">
        <v>300</v>
      </c>
      <c r="BA1964">
        <v>1</v>
      </c>
      <c r="BB1964" t="str">
        <f t="shared" si="95"/>
        <v xml:space="preserve">N162AM  </v>
      </c>
      <c r="BC1964">
        <v>1</v>
      </c>
      <c r="BE1964">
        <v>0</v>
      </c>
      <c r="BF1964">
        <v>0</v>
      </c>
      <c r="BG1964">
        <v>0</v>
      </c>
      <c r="BH1964">
        <v>1700</v>
      </c>
      <c r="BI1964">
        <v>1</v>
      </c>
      <c r="BJ1964">
        <v>1</v>
      </c>
      <c r="BK1964">
        <v>1</v>
      </c>
      <c r="BL1964">
        <v>0</v>
      </c>
      <c r="BO1964">
        <v>0</v>
      </c>
      <c r="BP1964">
        <v>0</v>
      </c>
      <c r="BW1964" t="str">
        <f>"14:53:04.716"</f>
        <v>14:53:04.716</v>
      </c>
      <c r="CJ1964">
        <v>3</v>
      </c>
      <c r="CK1964">
        <v>2</v>
      </c>
      <c r="CL1964">
        <v>0</v>
      </c>
      <c r="CM1964">
        <v>2</v>
      </c>
      <c r="CN1964">
        <v>0</v>
      </c>
      <c r="CO1964">
        <v>5</v>
      </c>
      <c r="CP1964" t="s">
        <v>119</v>
      </c>
      <c r="CQ1964">
        <v>232</v>
      </c>
      <c r="CR1964">
        <v>1</v>
      </c>
      <c r="CW1964">
        <v>15773481</v>
      </c>
      <c r="CY1964">
        <v>1</v>
      </c>
      <c r="CZ1964">
        <v>0</v>
      </c>
      <c r="DA1964">
        <v>1</v>
      </c>
      <c r="DB1964">
        <v>0</v>
      </c>
      <c r="DC1964">
        <v>0</v>
      </c>
      <c r="DD1964">
        <v>1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3">
      <c r="A1965" t="str">
        <f>"12/16/2021 14:53:04.992"</f>
        <v>12/16/2021 14:53:04.992</v>
      </c>
      <c r="C1965" t="str">
        <f t="shared" si="94"/>
        <v>FFDFD3C0</v>
      </c>
      <c r="D1965" t="s">
        <v>113</v>
      </c>
      <c r="E1965">
        <v>8</v>
      </c>
      <c r="H1965">
        <v>176</v>
      </c>
      <c r="I1965" t="s">
        <v>114</v>
      </c>
      <c r="J1965" t="s">
        <v>115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>"14:53:04.711"</f>
        <v>14:53:04.711</v>
      </c>
      <c r="T1965" t="str">
        <f>"14:53:04.211"</f>
        <v>14:53:04.211</v>
      </c>
      <c r="U1965" t="str">
        <f t="shared" si="96"/>
        <v>A0F928</v>
      </c>
      <c r="V1965">
        <v>0</v>
      </c>
      <c r="W1965">
        <v>0</v>
      </c>
      <c r="X1965">
        <v>2</v>
      </c>
      <c r="Z1965">
        <v>0</v>
      </c>
      <c r="AA1965">
        <v>9</v>
      </c>
      <c r="AB1965">
        <v>3</v>
      </c>
      <c r="AC1965">
        <v>0</v>
      </c>
      <c r="AD1965">
        <v>10</v>
      </c>
      <c r="AE1965">
        <v>0</v>
      </c>
      <c r="AF1965">
        <v>3</v>
      </c>
      <c r="AG1965">
        <v>2</v>
      </c>
      <c r="AH1965">
        <v>1</v>
      </c>
      <c r="AI1965" t="s">
        <v>1036</v>
      </c>
      <c r="AJ1965">
        <v>35.856028000000002</v>
      </c>
      <c r="AK1965" t="s">
        <v>1037</v>
      </c>
      <c r="AL1965">
        <v>-83.980543999999995</v>
      </c>
      <c r="AM1965">
        <v>25</v>
      </c>
      <c r="AN1965">
        <v>1450</v>
      </c>
      <c r="AO1965" t="s">
        <v>118</v>
      </c>
      <c r="AP1965">
        <v>82</v>
      </c>
      <c r="AQ1965">
        <v>78</v>
      </c>
      <c r="AR1965">
        <v>-320</v>
      </c>
      <c r="AZ1965">
        <v>300</v>
      </c>
      <c r="BA1965">
        <v>1</v>
      </c>
      <c r="BB1965" t="str">
        <f t="shared" si="95"/>
        <v xml:space="preserve">N162AM  </v>
      </c>
      <c r="BC1965">
        <v>1</v>
      </c>
      <c r="BE1965">
        <v>0</v>
      </c>
      <c r="BF1965">
        <v>0</v>
      </c>
      <c r="BG1965">
        <v>0</v>
      </c>
      <c r="BH1965">
        <v>1700</v>
      </c>
      <c r="BI1965">
        <v>1</v>
      </c>
      <c r="BJ1965">
        <v>1</v>
      </c>
      <c r="BK1965">
        <v>1</v>
      </c>
      <c r="BL1965">
        <v>0</v>
      </c>
      <c r="BO1965">
        <v>0</v>
      </c>
      <c r="BP1965">
        <v>0</v>
      </c>
      <c r="BW1965" t="str">
        <f>"14:53:04.716"</f>
        <v>14:53:04.716</v>
      </c>
      <c r="CJ1965">
        <v>3</v>
      </c>
      <c r="CK1965">
        <v>2</v>
      </c>
      <c r="CL1965">
        <v>0</v>
      </c>
      <c r="CM1965">
        <v>2</v>
      </c>
      <c r="CN1965">
        <v>0</v>
      </c>
      <c r="CO1965">
        <v>5</v>
      </c>
      <c r="CP1965" t="s">
        <v>119</v>
      </c>
      <c r="CQ1965">
        <v>232</v>
      </c>
      <c r="CR1965">
        <v>1</v>
      </c>
      <c r="CW1965">
        <v>15773481</v>
      </c>
      <c r="CY1965">
        <v>1</v>
      </c>
      <c r="CZ1965">
        <v>0</v>
      </c>
      <c r="DA1965">
        <v>1</v>
      </c>
      <c r="DB1965">
        <v>0</v>
      </c>
      <c r="DC1965">
        <v>0</v>
      </c>
      <c r="DD1965">
        <v>1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3">
      <c r="A1966" t="str">
        <f>"12/16/2021 14:53:05.773"</f>
        <v>12/16/2021 14:53:05.773</v>
      </c>
      <c r="C1966" t="str">
        <f t="shared" ref="C1966:C2029" si="97">"FFDFD3C0"</f>
        <v>FFDFD3C0</v>
      </c>
      <c r="D1966" t="s">
        <v>124</v>
      </c>
      <c r="E1966">
        <v>5</v>
      </c>
      <c r="F1966">
        <v>1005</v>
      </c>
      <c r="G1966" t="s">
        <v>114</v>
      </c>
      <c r="J1966" t="s">
        <v>125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>"14:53:05.578"</f>
        <v>14:53:05.578</v>
      </c>
      <c r="T1966" t="str">
        <f>"14:53:05.178"</f>
        <v>14:53:05.178</v>
      </c>
      <c r="U1966" t="str">
        <f t="shared" si="96"/>
        <v>A0F928</v>
      </c>
      <c r="V1966">
        <v>0</v>
      </c>
      <c r="W1966">
        <v>0</v>
      </c>
      <c r="X1966">
        <v>2</v>
      </c>
      <c r="Z1966">
        <v>0</v>
      </c>
      <c r="AA1966">
        <v>9</v>
      </c>
      <c r="AB1966">
        <v>3</v>
      </c>
      <c r="AC1966">
        <v>0</v>
      </c>
      <c r="AD1966">
        <v>10</v>
      </c>
      <c r="AE1966">
        <v>0</v>
      </c>
      <c r="AF1966">
        <v>3</v>
      </c>
      <c r="AG1966">
        <v>2</v>
      </c>
      <c r="AH1966">
        <v>1</v>
      </c>
      <c r="AI1966" t="s">
        <v>1038</v>
      </c>
      <c r="AJ1966">
        <v>35.856349000000002</v>
      </c>
      <c r="AK1966" t="s">
        <v>1039</v>
      </c>
      <c r="AL1966">
        <v>-83.980114</v>
      </c>
      <c r="AM1966">
        <v>25</v>
      </c>
      <c r="AN1966">
        <v>1450</v>
      </c>
      <c r="AO1966" t="s">
        <v>118</v>
      </c>
      <c r="AP1966">
        <v>83</v>
      </c>
      <c r="AQ1966">
        <v>76</v>
      </c>
      <c r="AR1966">
        <v>-384</v>
      </c>
      <c r="AZ1966">
        <v>300</v>
      </c>
      <c r="BA1966">
        <v>1</v>
      </c>
      <c r="BB1966" t="str">
        <f t="shared" ref="BB1966:BB2029" si="98">"N162AM  "</f>
        <v xml:space="preserve">N162AM  </v>
      </c>
      <c r="BC1966">
        <v>1</v>
      </c>
      <c r="BE1966">
        <v>0</v>
      </c>
      <c r="BF1966">
        <v>0</v>
      </c>
      <c r="BG1966">
        <v>0</v>
      </c>
      <c r="BH1966">
        <v>1700</v>
      </c>
      <c r="BI1966">
        <v>1</v>
      </c>
      <c r="BJ1966">
        <v>1</v>
      </c>
      <c r="BK1966">
        <v>1</v>
      </c>
      <c r="BL1966">
        <v>0</v>
      </c>
      <c r="BO1966">
        <v>0</v>
      </c>
      <c r="BP1966">
        <v>0</v>
      </c>
      <c r="BW1966" t="str">
        <f>"14:53:05.581"</f>
        <v>14:53:05.581</v>
      </c>
      <c r="CJ1966">
        <v>3</v>
      </c>
      <c r="CK1966">
        <v>2</v>
      </c>
      <c r="CL1966">
        <v>0</v>
      </c>
      <c r="CM1966">
        <v>2</v>
      </c>
      <c r="CN1966">
        <v>0</v>
      </c>
      <c r="CO1966">
        <v>5</v>
      </c>
      <c r="CP1966" t="s">
        <v>119</v>
      </c>
      <c r="CQ1966">
        <v>232</v>
      </c>
      <c r="CR1966">
        <v>1</v>
      </c>
      <c r="CW1966">
        <v>15774704</v>
      </c>
      <c r="CY1966">
        <v>1</v>
      </c>
      <c r="CZ1966">
        <v>0</v>
      </c>
      <c r="DA1966">
        <v>0</v>
      </c>
      <c r="DB1966">
        <v>0</v>
      </c>
      <c r="DC1966">
        <v>0</v>
      </c>
      <c r="DD1966">
        <v>1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3">
      <c r="A1967" t="str">
        <f>"12/16/2021 14:53:05.773"</f>
        <v>12/16/2021 14:53:05.773</v>
      </c>
      <c r="C1967" t="str">
        <f t="shared" si="97"/>
        <v>FFDFD3C0</v>
      </c>
      <c r="D1967" t="s">
        <v>124</v>
      </c>
      <c r="E1967">
        <v>10</v>
      </c>
      <c r="F1967">
        <v>1010</v>
      </c>
      <c r="G1967" t="s">
        <v>130</v>
      </c>
      <c r="J1967" t="s">
        <v>125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>"14:53:05.578"</f>
        <v>14:53:05.578</v>
      </c>
      <c r="T1967" t="str">
        <f>"14:53:05.178"</f>
        <v>14:53:05.178</v>
      </c>
      <c r="U1967" t="str">
        <f t="shared" si="96"/>
        <v>A0F928</v>
      </c>
      <c r="V1967">
        <v>0</v>
      </c>
      <c r="W1967">
        <v>0</v>
      </c>
      <c r="X1967">
        <v>2</v>
      </c>
      <c r="Z1967">
        <v>0</v>
      </c>
      <c r="AA1967">
        <v>9</v>
      </c>
      <c r="AB1967">
        <v>3</v>
      </c>
      <c r="AC1967">
        <v>0</v>
      </c>
      <c r="AD1967">
        <v>10</v>
      </c>
      <c r="AE1967">
        <v>0</v>
      </c>
      <c r="AF1967">
        <v>3</v>
      </c>
      <c r="AG1967">
        <v>2</v>
      </c>
      <c r="AH1967">
        <v>1</v>
      </c>
      <c r="AI1967" t="s">
        <v>1038</v>
      </c>
      <c r="AJ1967">
        <v>35.856349000000002</v>
      </c>
      <c r="AK1967" t="s">
        <v>1039</v>
      </c>
      <c r="AL1967">
        <v>-83.980114</v>
      </c>
      <c r="AM1967">
        <v>25</v>
      </c>
      <c r="AN1967">
        <v>1450</v>
      </c>
      <c r="AO1967" t="s">
        <v>118</v>
      </c>
      <c r="AP1967">
        <v>83</v>
      </c>
      <c r="AQ1967">
        <v>76</v>
      </c>
      <c r="AR1967">
        <v>-384</v>
      </c>
      <c r="AZ1967">
        <v>300</v>
      </c>
      <c r="BA1967">
        <v>1</v>
      </c>
      <c r="BB1967" t="str">
        <f t="shared" si="98"/>
        <v xml:space="preserve">N162AM  </v>
      </c>
      <c r="BC1967">
        <v>1</v>
      </c>
      <c r="BE1967">
        <v>0</v>
      </c>
      <c r="BF1967">
        <v>0</v>
      </c>
      <c r="BG1967">
        <v>0</v>
      </c>
      <c r="BH1967">
        <v>1700</v>
      </c>
      <c r="BI1967">
        <v>1</v>
      </c>
      <c r="BJ1967">
        <v>1</v>
      </c>
      <c r="BK1967">
        <v>1</v>
      </c>
      <c r="BL1967">
        <v>0</v>
      </c>
      <c r="BO1967">
        <v>0</v>
      </c>
      <c r="BP1967">
        <v>0</v>
      </c>
      <c r="BW1967" t="str">
        <f>"14:53:05.581"</f>
        <v>14:53:05.581</v>
      </c>
      <c r="CJ1967">
        <v>3</v>
      </c>
      <c r="CK1967">
        <v>2</v>
      </c>
      <c r="CL1967">
        <v>0</v>
      </c>
      <c r="CM1967">
        <v>2</v>
      </c>
      <c r="CN1967">
        <v>0</v>
      </c>
      <c r="CO1967">
        <v>5</v>
      </c>
      <c r="CP1967" t="s">
        <v>119</v>
      </c>
      <c r="CQ1967">
        <v>232</v>
      </c>
      <c r="CR1967">
        <v>1</v>
      </c>
      <c r="CW1967">
        <v>15774704</v>
      </c>
      <c r="CY1967">
        <v>1</v>
      </c>
      <c r="CZ1967">
        <v>0</v>
      </c>
      <c r="DA1967">
        <v>1</v>
      </c>
      <c r="DB1967">
        <v>0</v>
      </c>
      <c r="DC1967">
        <v>0</v>
      </c>
      <c r="DD1967">
        <v>1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3">
      <c r="A1968" t="str">
        <f>"12/16/2021 14:53:05.820"</f>
        <v>12/16/2021 14:53:05.820</v>
      </c>
      <c r="C1968" t="str">
        <f t="shared" si="97"/>
        <v>FFDFD3C0</v>
      </c>
      <c r="D1968" t="s">
        <v>133</v>
      </c>
      <c r="E1968">
        <v>44</v>
      </c>
      <c r="H1968">
        <v>131</v>
      </c>
      <c r="I1968" t="s">
        <v>134</v>
      </c>
      <c r="J1968" t="s">
        <v>135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>"14:53:05.578"</f>
        <v>14:53:05.578</v>
      </c>
      <c r="T1968" t="str">
        <f>"14:53:05.178"</f>
        <v>14:53:05.178</v>
      </c>
      <c r="U1968" t="str">
        <f t="shared" si="96"/>
        <v>A0F928</v>
      </c>
      <c r="V1968">
        <v>0</v>
      </c>
      <c r="W1968">
        <v>0</v>
      </c>
      <c r="X1968">
        <v>2</v>
      </c>
      <c r="Z1968">
        <v>0</v>
      </c>
      <c r="AA1968">
        <v>9</v>
      </c>
      <c r="AB1968">
        <v>3</v>
      </c>
      <c r="AC1968">
        <v>0</v>
      </c>
      <c r="AD1968">
        <v>10</v>
      </c>
      <c r="AE1968">
        <v>0</v>
      </c>
      <c r="AF1968">
        <v>3</v>
      </c>
      <c r="AG1968">
        <v>2</v>
      </c>
      <c r="AH1968">
        <v>1</v>
      </c>
      <c r="AI1968" t="s">
        <v>1038</v>
      </c>
      <c r="AJ1968">
        <v>35.856349000000002</v>
      </c>
      <c r="AK1968" t="s">
        <v>1039</v>
      </c>
      <c r="AL1968">
        <v>-83.980114</v>
      </c>
      <c r="AM1968">
        <v>25</v>
      </c>
      <c r="AN1968">
        <v>1450</v>
      </c>
      <c r="AO1968" t="s">
        <v>118</v>
      </c>
      <c r="AP1968">
        <v>83</v>
      </c>
      <c r="AQ1968">
        <v>76</v>
      </c>
      <c r="AR1968">
        <v>-384</v>
      </c>
      <c r="AZ1968">
        <v>300</v>
      </c>
      <c r="BA1968">
        <v>1</v>
      </c>
      <c r="BB1968" t="str">
        <f t="shared" si="98"/>
        <v xml:space="preserve">N162AM  </v>
      </c>
      <c r="BC1968">
        <v>1</v>
      </c>
      <c r="BE1968">
        <v>0</v>
      </c>
      <c r="BF1968">
        <v>0</v>
      </c>
      <c r="BG1968">
        <v>0</v>
      </c>
      <c r="BH1968">
        <v>1700</v>
      </c>
      <c r="BI1968">
        <v>1</v>
      </c>
      <c r="BJ1968">
        <v>1</v>
      </c>
      <c r="BK1968">
        <v>1</v>
      </c>
      <c r="BL1968">
        <v>0</v>
      </c>
      <c r="BO1968">
        <v>0</v>
      </c>
      <c r="BP1968">
        <v>0</v>
      </c>
      <c r="BW1968" t="str">
        <f>"14:53:05.581"</f>
        <v>14:53:05.581</v>
      </c>
      <c r="CJ1968">
        <v>3</v>
      </c>
      <c r="CK1968">
        <v>2</v>
      </c>
      <c r="CL1968">
        <v>0</v>
      </c>
      <c r="CM1968">
        <v>2</v>
      </c>
      <c r="CN1968">
        <v>0</v>
      </c>
      <c r="CO1968">
        <v>5</v>
      </c>
      <c r="CP1968" t="s">
        <v>119</v>
      </c>
      <c r="CQ1968">
        <v>232</v>
      </c>
      <c r="CR1968">
        <v>1</v>
      </c>
      <c r="CW1968">
        <v>15774704</v>
      </c>
      <c r="CY1968">
        <v>1</v>
      </c>
      <c r="CZ1968">
        <v>0</v>
      </c>
      <c r="DA1968">
        <v>1</v>
      </c>
      <c r="DB1968">
        <v>0</v>
      </c>
      <c r="DC1968">
        <v>0</v>
      </c>
      <c r="DD1968">
        <v>1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3">
      <c r="A1969" t="str">
        <f>"12/16/2021 14:53:05.820"</f>
        <v>12/16/2021 14:53:05.820</v>
      </c>
      <c r="C1969" t="str">
        <f t="shared" si="97"/>
        <v>FFDFD3C0</v>
      </c>
      <c r="D1969" t="s">
        <v>113</v>
      </c>
      <c r="E1969">
        <v>8</v>
      </c>
      <c r="H1969">
        <v>176</v>
      </c>
      <c r="I1969" t="s">
        <v>114</v>
      </c>
      <c r="J1969" t="s">
        <v>115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>"14:53:05.578"</f>
        <v>14:53:05.578</v>
      </c>
      <c r="T1969" t="str">
        <f>"14:53:05.178"</f>
        <v>14:53:05.178</v>
      </c>
      <c r="U1969" t="str">
        <f t="shared" si="96"/>
        <v>A0F928</v>
      </c>
      <c r="V1969">
        <v>0</v>
      </c>
      <c r="W1969">
        <v>0</v>
      </c>
      <c r="X1969">
        <v>2</v>
      </c>
      <c r="Z1969">
        <v>0</v>
      </c>
      <c r="AA1969">
        <v>9</v>
      </c>
      <c r="AB1969">
        <v>3</v>
      </c>
      <c r="AC1969">
        <v>0</v>
      </c>
      <c r="AD1969">
        <v>10</v>
      </c>
      <c r="AE1969">
        <v>0</v>
      </c>
      <c r="AF1969">
        <v>3</v>
      </c>
      <c r="AG1969">
        <v>2</v>
      </c>
      <c r="AH1969">
        <v>1</v>
      </c>
      <c r="AI1969" t="s">
        <v>1038</v>
      </c>
      <c r="AJ1969">
        <v>35.856349000000002</v>
      </c>
      <c r="AK1969" t="s">
        <v>1039</v>
      </c>
      <c r="AL1969">
        <v>-83.980114</v>
      </c>
      <c r="AM1969">
        <v>25</v>
      </c>
      <c r="AN1969">
        <v>1450</v>
      </c>
      <c r="AO1969" t="s">
        <v>118</v>
      </c>
      <c r="AP1969">
        <v>83</v>
      </c>
      <c r="AQ1969">
        <v>76</v>
      </c>
      <c r="AR1969">
        <v>-384</v>
      </c>
      <c r="AZ1969">
        <v>300</v>
      </c>
      <c r="BA1969">
        <v>1</v>
      </c>
      <c r="BB1969" t="str">
        <f t="shared" si="98"/>
        <v xml:space="preserve">N162AM  </v>
      </c>
      <c r="BC1969">
        <v>1</v>
      </c>
      <c r="BE1969">
        <v>0</v>
      </c>
      <c r="BF1969">
        <v>0</v>
      </c>
      <c r="BG1969">
        <v>0</v>
      </c>
      <c r="BH1969">
        <v>1700</v>
      </c>
      <c r="BI1969">
        <v>1</v>
      </c>
      <c r="BJ1969">
        <v>1</v>
      </c>
      <c r="BK1969">
        <v>1</v>
      </c>
      <c r="BL1969">
        <v>0</v>
      </c>
      <c r="BO1969">
        <v>0</v>
      </c>
      <c r="BP1969">
        <v>0</v>
      </c>
      <c r="BW1969" t="str">
        <f>"14:53:05.581"</f>
        <v>14:53:05.581</v>
      </c>
      <c r="CJ1969">
        <v>3</v>
      </c>
      <c r="CK1969">
        <v>2</v>
      </c>
      <c r="CL1969">
        <v>0</v>
      </c>
      <c r="CM1969">
        <v>2</v>
      </c>
      <c r="CN1969">
        <v>0</v>
      </c>
      <c r="CO1969">
        <v>5</v>
      </c>
      <c r="CP1969" t="s">
        <v>119</v>
      </c>
      <c r="CQ1969">
        <v>232</v>
      </c>
      <c r="CR1969">
        <v>1</v>
      </c>
      <c r="CW1969">
        <v>15774704</v>
      </c>
      <c r="CY1969">
        <v>1</v>
      </c>
      <c r="CZ1969">
        <v>0</v>
      </c>
      <c r="DA1969">
        <v>1</v>
      </c>
      <c r="DB1969">
        <v>0</v>
      </c>
      <c r="DC1969">
        <v>0</v>
      </c>
      <c r="DD1969">
        <v>1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3">
      <c r="A1970" t="str">
        <f>"12/16/2021 14:53:06.758"</f>
        <v>12/16/2021 14:53:06.758</v>
      </c>
      <c r="C1970" t="str">
        <f t="shared" si="97"/>
        <v>FFDFD3C0</v>
      </c>
      <c r="D1970" t="s">
        <v>124</v>
      </c>
      <c r="E1970">
        <v>5</v>
      </c>
      <c r="F1970">
        <v>1005</v>
      </c>
      <c r="G1970" t="s">
        <v>114</v>
      </c>
      <c r="J1970" t="s">
        <v>125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>"14:53:06.547"</f>
        <v>14:53:06.547</v>
      </c>
      <c r="T1970" t="str">
        <f>"14:53:06.147"</f>
        <v>14:53:06.147</v>
      </c>
      <c r="U1970" t="str">
        <f t="shared" si="96"/>
        <v>A0F928</v>
      </c>
      <c r="V1970">
        <v>0</v>
      </c>
      <c r="W1970">
        <v>0</v>
      </c>
      <c r="X1970">
        <v>2</v>
      </c>
      <c r="Z1970">
        <v>0</v>
      </c>
      <c r="AA1970">
        <v>9</v>
      </c>
      <c r="AB1970">
        <v>3</v>
      </c>
      <c r="AC1970">
        <v>0</v>
      </c>
      <c r="AD1970">
        <v>10</v>
      </c>
      <c r="AE1970">
        <v>0</v>
      </c>
      <c r="AF1970">
        <v>3</v>
      </c>
      <c r="AG1970">
        <v>2</v>
      </c>
      <c r="AH1970">
        <v>1</v>
      </c>
      <c r="AI1970" t="s">
        <v>1040</v>
      </c>
      <c r="AJ1970">
        <v>35.856670999999999</v>
      </c>
      <c r="AK1970" t="s">
        <v>1041</v>
      </c>
      <c r="AL1970">
        <v>-83.979664</v>
      </c>
      <c r="AM1970">
        <v>25</v>
      </c>
      <c r="AN1970">
        <v>1450</v>
      </c>
      <c r="AO1970" t="s">
        <v>118</v>
      </c>
      <c r="AP1970">
        <v>84</v>
      </c>
      <c r="AQ1970">
        <v>74</v>
      </c>
      <c r="AR1970">
        <v>-384</v>
      </c>
      <c r="AZ1970">
        <v>300</v>
      </c>
      <c r="BA1970">
        <v>1</v>
      </c>
      <c r="BB1970" t="str">
        <f t="shared" si="98"/>
        <v xml:space="preserve">N162AM  </v>
      </c>
      <c r="BC1970">
        <v>1</v>
      </c>
      <c r="BE1970">
        <v>0</v>
      </c>
      <c r="BF1970">
        <v>0</v>
      </c>
      <c r="BG1970">
        <v>0</v>
      </c>
      <c r="BH1970">
        <v>1700</v>
      </c>
      <c r="BI1970">
        <v>1</v>
      </c>
      <c r="BJ1970">
        <v>1</v>
      </c>
      <c r="BK1970">
        <v>1</v>
      </c>
      <c r="BL1970">
        <v>0</v>
      </c>
      <c r="BO1970">
        <v>0</v>
      </c>
      <c r="BP1970">
        <v>0</v>
      </c>
      <c r="BW1970" t="str">
        <f>"14:53:06.554"</f>
        <v>14:53:06.554</v>
      </c>
      <c r="CJ1970">
        <v>3</v>
      </c>
      <c r="CK1970">
        <v>2</v>
      </c>
      <c r="CL1970">
        <v>0</v>
      </c>
      <c r="CM1970">
        <v>2</v>
      </c>
      <c r="CN1970">
        <v>0</v>
      </c>
      <c r="CO1970">
        <v>5</v>
      </c>
      <c r="CP1970" t="s">
        <v>119</v>
      </c>
      <c r="CQ1970">
        <v>232</v>
      </c>
      <c r="CR1970">
        <v>1</v>
      </c>
      <c r="CW1970">
        <v>15776066</v>
      </c>
      <c r="CY1970">
        <v>1</v>
      </c>
      <c r="CZ1970">
        <v>0</v>
      </c>
      <c r="DA1970">
        <v>0</v>
      </c>
      <c r="DB1970">
        <v>0</v>
      </c>
      <c r="DC1970">
        <v>0</v>
      </c>
      <c r="DD1970">
        <v>1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3">
      <c r="A1971" t="str">
        <f>"12/16/2021 14:53:06.758"</f>
        <v>12/16/2021 14:53:06.758</v>
      </c>
      <c r="C1971" t="str">
        <f t="shared" si="97"/>
        <v>FFDFD3C0</v>
      </c>
      <c r="D1971" t="s">
        <v>124</v>
      </c>
      <c r="E1971">
        <v>10</v>
      </c>
      <c r="F1971">
        <v>1010</v>
      </c>
      <c r="G1971" t="s">
        <v>130</v>
      </c>
      <c r="J1971" t="s">
        <v>125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>"14:53:06.547"</f>
        <v>14:53:06.547</v>
      </c>
      <c r="T1971" t="str">
        <f>"14:53:06.147"</f>
        <v>14:53:06.147</v>
      </c>
      <c r="U1971" t="str">
        <f t="shared" si="96"/>
        <v>A0F928</v>
      </c>
      <c r="V1971">
        <v>0</v>
      </c>
      <c r="W1971">
        <v>0</v>
      </c>
      <c r="X1971">
        <v>2</v>
      </c>
      <c r="Z1971">
        <v>0</v>
      </c>
      <c r="AA1971">
        <v>9</v>
      </c>
      <c r="AB1971">
        <v>3</v>
      </c>
      <c r="AC1971">
        <v>0</v>
      </c>
      <c r="AD1971">
        <v>10</v>
      </c>
      <c r="AE1971">
        <v>0</v>
      </c>
      <c r="AF1971">
        <v>3</v>
      </c>
      <c r="AG1971">
        <v>2</v>
      </c>
      <c r="AH1971">
        <v>1</v>
      </c>
      <c r="AI1971" t="s">
        <v>1040</v>
      </c>
      <c r="AJ1971">
        <v>35.856670999999999</v>
      </c>
      <c r="AK1971" t="s">
        <v>1041</v>
      </c>
      <c r="AL1971">
        <v>-83.979664</v>
      </c>
      <c r="AM1971">
        <v>25</v>
      </c>
      <c r="AN1971">
        <v>1450</v>
      </c>
      <c r="AO1971" t="s">
        <v>118</v>
      </c>
      <c r="AP1971">
        <v>84</v>
      </c>
      <c r="AQ1971">
        <v>74</v>
      </c>
      <c r="AR1971">
        <v>-384</v>
      </c>
      <c r="AZ1971">
        <v>300</v>
      </c>
      <c r="BA1971">
        <v>1</v>
      </c>
      <c r="BB1971" t="str">
        <f t="shared" si="98"/>
        <v xml:space="preserve">N162AM  </v>
      </c>
      <c r="BC1971">
        <v>1</v>
      </c>
      <c r="BE1971">
        <v>0</v>
      </c>
      <c r="BF1971">
        <v>0</v>
      </c>
      <c r="BG1971">
        <v>0</v>
      </c>
      <c r="BH1971">
        <v>1700</v>
      </c>
      <c r="BI1971">
        <v>1</v>
      </c>
      <c r="BJ1971">
        <v>1</v>
      </c>
      <c r="BK1971">
        <v>1</v>
      </c>
      <c r="BL1971">
        <v>0</v>
      </c>
      <c r="BO1971">
        <v>0</v>
      </c>
      <c r="BP1971">
        <v>0</v>
      </c>
      <c r="BW1971" t="str">
        <f>"14:53:06.554"</f>
        <v>14:53:06.554</v>
      </c>
      <c r="CJ1971">
        <v>3</v>
      </c>
      <c r="CK1971">
        <v>2</v>
      </c>
      <c r="CL1971">
        <v>0</v>
      </c>
      <c r="CM1971">
        <v>2</v>
      </c>
      <c r="CN1971">
        <v>0</v>
      </c>
      <c r="CO1971">
        <v>5</v>
      </c>
      <c r="CP1971" t="s">
        <v>119</v>
      </c>
      <c r="CQ1971">
        <v>232</v>
      </c>
      <c r="CR1971">
        <v>1</v>
      </c>
      <c r="CW1971">
        <v>15776066</v>
      </c>
      <c r="CY1971">
        <v>1</v>
      </c>
      <c r="CZ1971">
        <v>0</v>
      </c>
      <c r="DA1971">
        <v>1</v>
      </c>
      <c r="DB1971">
        <v>0</v>
      </c>
      <c r="DC1971">
        <v>0</v>
      </c>
      <c r="DD1971">
        <v>1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3">
      <c r="A1972" t="str">
        <f>"12/16/2021 14:53:06.758"</f>
        <v>12/16/2021 14:53:06.758</v>
      </c>
      <c r="C1972" t="str">
        <f t="shared" si="97"/>
        <v>FFDFD3C0</v>
      </c>
      <c r="D1972" t="s">
        <v>133</v>
      </c>
      <c r="E1972">
        <v>44</v>
      </c>
      <c r="H1972">
        <v>131</v>
      </c>
      <c r="I1972" t="s">
        <v>134</v>
      </c>
      <c r="J1972" t="s">
        <v>135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>"14:53:06.547"</f>
        <v>14:53:06.547</v>
      </c>
      <c r="T1972" t="str">
        <f>"14:53:06.147"</f>
        <v>14:53:06.147</v>
      </c>
      <c r="U1972" t="str">
        <f t="shared" si="96"/>
        <v>A0F928</v>
      </c>
      <c r="V1972">
        <v>0</v>
      </c>
      <c r="W1972">
        <v>0</v>
      </c>
      <c r="X1972">
        <v>2</v>
      </c>
      <c r="Z1972">
        <v>0</v>
      </c>
      <c r="AA1972">
        <v>9</v>
      </c>
      <c r="AB1972">
        <v>3</v>
      </c>
      <c r="AC1972">
        <v>0</v>
      </c>
      <c r="AD1972">
        <v>10</v>
      </c>
      <c r="AE1972">
        <v>0</v>
      </c>
      <c r="AF1972">
        <v>3</v>
      </c>
      <c r="AG1972">
        <v>2</v>
      </c>
      <c r="AH1972">
        <v>1</v>
      </c>
      <c r="AI1972" t="s">
        <v>1040</v>
      </c>
      <c r="AJ1972">
        <v>35.856670999999999</v>
      </c>
      <c r="AK1972" t="s">
        <v>1041</v>
      </c>
      <c r="AL1972">
        <v>-83.979664</v>
      </c>
      <c r="AM1972">
        <v>25</v>
      </c>
      <c r="AN1972">
        <v>1450</v>
      </c>
      <c r="AO1972" t="s">
        <v>118</v>
      </c>
      <c r="AP1972">
        <v>84</v>
      </c>
      <c r="AQ1972">
        <v>74</v>
      </c>
      <c r="AR1972">
        <v>-384</v>
      </c>
      <c r="AZ1972">
        <v>300</v>
      </c>
      <c r="BA1972">
        <v>1</v>
      </c>
      <c r="BB1972" t="str">
        <f t="shared" si="98"/>
        <v xml:space="preserve">N162AM  </v>
      </c>
      <c r="BC1972">
        <v>1</v>
      </c>
      <c r="BE1972">
        <v>0</v>
      </c>
      <c r="BF1972">
        <v>0</v>
      </c>
      <c r="BG1972">
        <v>0</v>
      </c>
      <c r="BH1972">
        <v>1700</v>
      </c>
      <c r="BI1972">
        <v>1</v>
      </c>
      <c r="BJ1972">
        <v>1</v>
      </c>
      <c r="BK1972">
        <v>1</v>
      </c>
      <c r="BL1972">
        <v>0</v>
      </c>
      <c r="BO1972">
        <v>0</v>
      </c>
      <c r="BP1972">
        <v>0</v>
      </c>
      <c r="BW1972" t="str">
        <f>"14:53:06.554"</f>
        <v>14:53:06.554</v>
      </c>
      <c r="CJ1972">
        <v>3</v>
      </c>
      <c r="CK1972">
        <v>2</v>
      </c>
      <c r="CL1972">
        <v>0</v>
      </c>
      <c r="CM1972">
        <v>2</v>
      </c>
      <c r="CN1972">
        <v>0</v>
      </c>
      <c r="CO1972">
        <v>5</v>
      </c>
      <c r="CP1972" t="s">
        <v>119</v>
      </c>
      <c r="CQ1972">
        <v>232</v>
      </c>
      <c r="CR1972">
        <v>1</v>
      </c>
      <c r="CW1972">
        <v>15776066</v>
      </c>
      <c r="CY1972">
        <v>1</v>
      </c>
      <c r="CZ1972">
        <v>0</v>
      </c>
      <c r="DA1972">
        <v>1</v>
      </c>
      <c r="DB1972">
        <v>0</v>
      </c>
      <c r="DC1972">
        <v>0</v>
      </c>
      <c r="DD1972">
        <v>1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3">
      <c r="A1973" t="str">
        <f>"12/16/2021 14:53:06.758"</f>
        <v>12/16/2021 14:53:06.758</v>
      </c>
      <c r="C1973" t="str">
        <f t="shared" si="97"/>
        <v>FFDFD3C0</v>
      </c>
      <c r="D1973" t="s">
        <v>113</v>
      </c>
      <c r="E1973">
        <v>8</v>
      </c>
      <c r="H1973">
        <v>176</v>
      </c>
      <c r="I1973" t="s">
        <v>114</v>
      </c>
      <c r="J1973" t="s">
        <v>115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>"14:53:06.547"</f>
        <v>14:53:06.547</v>
      </c>
      <c r="T1973" t="str">
        <f>"14:53:06.147"</f>
        <v>14:53:06.147</v>
      </c>
      <c r="U1973" t="str">
        <f t="shared" si="96"/>
        <v>A0F928</v>
      </c>
      <c r="V1973">
        <v>0</v>
      </c>
      <c r="W1973">
        <v>0</v>
      </c>
      <c r="X1973">
        <v>2</v>
      </c>
      <c r="Z1973">
        <v>0</v>
      </c>
      <c r="AA1973">
        <v>9</v>
      </c>
      <c r="AB1973">
        <v>3</v>
      </c>
      <c r="AC1973">
        <v>0</v>
      </c>
      <c r="AD1973">
        <v>10</v>
      </c>
      <c r="AE1973">
        <v>0</v>
      </c>
      <c r="AF1973">
        <v>3</v>
      </c>
      <c r="AG1973">
        <v>2</v>
      </c>
      <c r="AH1973">
        <v>1</v>
      </c>
      <c r="AI1973" t="s">
        <v>1040</v>
      </c>
      <c r="AJ1973">
        <v>35.856670999999999</v>
      </c>
      <c r="AK1973" t="s">
        <v>1041</v>
      </c>
      <c r="AL1973">
        <v>-83.979664</v>
      </c>
      <c r="AM1973">
        <v>25</v>
      </c>
      <c r="AN1973">
        <v>1450</v>
      </c>
      <c r="AO1973" t="s">
        <v>118</v>
      </c>
      <c r="AP1973">
        <v>84</v>
      </c>
      <c r="AQ1973">
        <v>74</v>
      </c>
      <c r="AR1973">
        <v>-384</v>
      </c>
      <c r="AZ1973">
        <v>300</v>
      </c>
      <c r="BA1973">
        <v>1</v>
      </c>
      <c r="BB1973" t="str">
        <f t="shared" si="98"/>
        <v xml:space="preserve">N162AM  </v>
      </c>
      <c r="BC1973">
        <v>1</v>
      </c>
      <c r="BE1973">
        <v>0</v>
      </c>
      <c r="BF1973">
        <v>0</v>
      </c>
      <c r="BG1973">
        <v>0</v>
      </c>
      <c r="BH1973">
        <v>1700</v>
      </c>
      <c r="BI1973">
        <v>1</v>
      </c>
      <c r="BJ1973">
        <v>1</v>
      </c>
      <c r="BK1973">
        <v>1</v>
      </c>
      <c r="BL1973">
        <v>0</v>
      </c>
      <c r="BO1973">
        <v>0</v>
      </c>
      <c r="BP1973">
        <v>0</v>
      </c>
      <c r="BW1973" t="str">
        <f>"14:53:06.554"</f>
        <v>14:53:06.554</v>
      </c>
      <c r="CJ1973">
        <v>3</v>
      </c>
      <c r="CK1973">
        <v>2</v>
      </c>
      <c r="CL1973">
        <v>0</v>
      </c>
      <c r="CM1973">
        <v>2</v>
      </c>
      <c r="CN1973">
        <v>0</v>
      </c>
      <c r="CO1973">
        <v>5</v>
      </c>
      <c r="CP1973" t="s">
        <v>119</v>
      </c>
      <c r="CQ1973">
        <v>232</v>
      </c>
      <c r="CR1973">
        <v>1</v>
      </c>
      <c r="CW1973">
        <v>15776066</v>
      </c>
      <c r="CY1973">
        <v>1</v>
      </c>
      <c r="CZ1973">
        <v>0</v>
      </c>
      <c r="DA1973">
        <v>1</v>
      </c>
      <c r="DB1973">
        <v>0</v>
      </c>
      <c r="DC1973">
        <v>0</v>
      </c>
      <c r="DD1973">
        <v>1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3">
      <c r="A1974" t="str">
        <f>"12/16/2021 14:53:07.930"</f>
        <v>12/16/2021 14:53:07.930</v>
      </c>
      <c r="C1974" t="str">
        <f t="shared" si="97"/>
        <v>FFDFD3C0</v>
      </c>
      <c r="D1974" t="s">
        <v>124</v>
      </c>
      <c r="E1974">
        <v>10</v>
      </c>
      <c r="F1974">
        <v>1010</v>
      </c>
      <c r="G1974" t="s">
        <v>130</v>
      </c>
      <c r="J1974" t="s">
        <v>125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>"14:53:07.688"</f>
        <v>14:53:07.688</v>
      </c>
      <c r="T1974" t="str">
        <f>"14:53:07.188"</f>
        <v>14:53:07.188</v>
      </c>
      <c r="U1974" t="str">
        <f t="shared" si="96"/>
        <v>A0F928</v>
      </c>
      <c r="V1974">
        <v>0</v>
      </c>
      <c r="W1974">
        <v>0</v>
      </c>
      <c r="X1974">
        <v>2</v>
      </c>
      <c r="Z1974">
        <v>0</v>
      </c>
      <c r="AA1974">
        <v>9</v>
      </c>
      <c r="AB1974">
        <v>3</v>
      </c>
      <c r="AC1974">
        <v>0</v>
      </c>
      <c r="AD1974">
        <v>10</v>
      </c>
      <c r="AE1974">
        <v>0</v>
      </c>
      <c r="AF1974">
        <v>3</v>
      </c>
      <c r="AG1974">
        <v>2</v>
      </c>
      <c r="AH1974">
        <v>1</v>
      </c>
      <c r="AI1974" t="s">
        <v>1042</v>
      </c>
      <c r="AJ1974">
        <v>35.857058000000002</v>
      </c>
      <c r="AK1974" t="s">
        <v>1043</v>
      </c>
      <c r="AL1974">
        <v>-83.979084</v>
      </c>
      <c r="AM1974">
        <v>25</v>
      </c>
      <c r="AN1974">
        <v>1425</v>
      </c>
      <c r="AO1974" t="s">
        <v>118</v>
      </c>
      <c r="AP1974">
        <v>87</v>
      </c>
      <c r="AQ1974">
        <v>71</v>
      </c>
      <c r="AR1974">
        <v>-448</v>
      </c>
      <c r="AZ1974">
        <v>300</v>
      </c>
      <c r="BA1974">
        <v>1</v>
      </c>
      <c r="BB1974" t="str">
        <f t="shared" si="98"/>
        <v xml:space="preserve">N162AM  </v>
      </c>
      <c r="BC1974">
        <v>1</v>
      </c>
      <c r="BE1974">
        <v>0</v>
      </c>
      <c r="BF1974">
        <v>0</v>
      </c>
      <c r="BG1974">
        <v>0</v>
      </c>
      <c r="BH1974">
        <v>1700</v>
      </c>
      <c r="BI1974">
        <v>1</v>
      </c>
      <c r="BJ1974">
        <v>1</v>
      </c>
      <c r="BK1974">
        <v>1</v>
      </c>
      <c r="BL1974">
        <v>0</v>
      </c>
      <c r="BO1974">
        <v>0</v>
      </c>
      <c r="BP1974">
        <v>0</v>
      </c>
      <c r="BW1974" t="str">
        <f>"14:53:07.693"</f>
        <v>14:53:07.693</v>
      </c>
      <c r="CJ1974">
        <v>3</v>
      </c>
      <c r="CK1974">
        <v>2</v>
      </c>
      <c r="CL1974">
        <v>0</v>
      </c>
      <c r="CM1974">
        <v>2</v>
      </c>
      <c r="CN1974">
        <v>0</v>
      </c>
      <c r="CO1974">
        <v>3</v>
      </c>
      <c r="CP1974" t="s">
        <v>119</v>
      </c>
      <c r="CQ1974">
        <v>232</v>
      </c>
      <c r="CR1974">
        <v>2</v>
      </c>
      <c r="CW1974">
        <v>6993348</v>
      </c>
      <c r="CY1974">
        <v>1</v>
      </c>
      <c r="CZ1974">
        <v>0</v>
      </c>
      <c r="DA1974">
        <v>0</v>
      </c>
      <c r="DB1974">
        <v>0</v>
      </c>
      <c r="DC1974">
        <v>0</v>
      </c>
      <c r="DD1974">
        <v>1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3">
      <c r="A1975" t="str">
        <f>"12/16/2021 14:53:07.930"</f>
        <v>12/16/2021 14:53:07.930</v>
      </c>
      <c r="C1975" t="str">
        <f t="shared" si="97"/>
        <v>FFDFD3C0</v>
      </c>
      <c r="D1975" t="s">
        <v>124</v>
      </c>
      <c r="E1975">
        <v>5</v>
      </c>
      <c r="F1975">
        <v>1005</v>
      </c>
      <c r="G1975" t="s">
        <v>114</v>
      </c>
      <c r="J1975" t="s">
        <v>125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>"14:53:07.688"</f>
        <v>14:53:07.688</v>
      </c>
      <c r="T1975" t="str">
        <f>"14:53:07.188"</f>
        <v>14:53:07.188</v>
      </c>
      <c r="U1975" t="str">
        <f t="shared" si="96"/>
        <v>A0F928</v>
      </c>
      <c r="V1975">
        <v>0</v>
      </c>
      <c r="W1975">
        <v>0</v>
      </c>
      <c r="X1975">
        <v>2</v>
      </c>
      <c r="Z1975">
        <v>0</v>
      </c>
      <c r="AA1975">
        <v>9</v>
      </c>
      <c r="AB1975">
        <v>3</v>
      </c>
      <c r="AC1975">
        <v>0</v>
      </c>
      <c r="AD1975">
        <v>10</v>
      </c>
      <c r="AE1975">
        <v>0</v>
      </c>
      <c r="AF1975">
        <v>3</v>
      </c>
      <c r="AG1975">
        <v>2</v>
      </c>
      <c r="AH1975">
        <v>1</v>
      </c>
      <c r="AI1975" t="s">
        <v>1042</v>
      </c>
      <c r="AJ1975">
        <v>35.857058000000002</v>
      </c>
      <c r="AK1975" t="s">
        <v>1043</v>
      </c>
      <c r="AL1975">
        <v>-83.979084</v>
      </c>
      <c r="AM1975">
        <v>25</v>
      </c>
      <c r="AN1975">
        <v>1425</v>
      </c>
      <c r="AO1975" t="s">
        <v>118</v>
      </c>
      <c r="AP1975">
        <v>87</v>
      </c>
      <c r="AQ1975">
        <v>71</v>
      </c>
      <c r="AR1975">
        <v>-448</v>
      </c>
      <c r="AZ1975">
        <v>300</v>
      </c>
      <c r="BA1975">
        <v>1</v>
      </c>
      <c r="BB1975" t="str">
        <f t="shared" si="98"/>
        <v xml:space="preserve">N162AM  </v>
      </c>
      <c r="BC1975">
        <v>1</v>
      </c>
      <c r="BE1975">
        <v>0</v>
      </c>
      <c r="BF1975">
        <v>0</v>
      </c>
      <c r="BG1975">
        <v>0</v>
      </c>
      <c r="BH1975">
        <v>1700</v>
      </c>
      <c r="BI1975">
        <v>1</v>
      </c>
      <c r="BJ1975">
        <v>1</v>
      </c>
      <c r="BK1975">
        <v>1</v>
      </c>
      <c r="BL1975">
        <v>0</v>
      </c>
      <c r="BO1975">
        <v>0</v>
      </c>
      <c r="BP1975">
        <v>0</v>
      </c>
      <c r="BW1975" t="str">
        <f>"14:53:07.693"</f>
        <v>14:53:07.693</v>
      </c>
      <c r="CJ1975">
        <v>3</v>
      </c>
      <c r="CK1975">
        <v>2</v>
      </c>
      <c r="CL1975">
        <v>0</v>
      </c>
      <c r="CM1975">
        <v>2</v>
      </c>
      <c r="CN1975">
        <v>0</v>
      </c>
      <c r="CO1975">
        <v>3</v>
      </c>
      <c r="CP1975" t="s">
        <v>119</v>
      </c>
      <c r="CQ1975">
        <v>232</v>
      </c>
      <c r="CR1975">
        <v>2</v>
      </c>
      <c r="CW1975">
        <v>6993348</v>
      </c>
      <c r="CY1975">
        <v>1</v>
      </c>
      <c r="CZ1975">
        <v>0</v>
      </c>
      <c r="DA1975">
        <v>1</v>
      </c>
      <c r="DB1975">
        <v>0</v>
      </c>
      <c r="DC1975">
        <v>0</v>
      </c>
      <c r="DD1975">
        <v>1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3">
      <c r="A1976" t="str">
        <f>"12/16/2021 14:53:07.930"</f>
        <v>12/16/2021 14:53:07.930</v>
      </c>
      <c r="C1976" t="str">
        <f t="shared" si="97"/>
        <v>FFDFD3C0</v>
      </c>
      <c r="D1976" t="s">
        <v>133</v>
      </c>
      <c r="E1976">
        <v>44</v>
      </c>
      <c r="H1976">
        <v>131</v>
      </c>
      <c r="I1976" t="s">
        <v>134</v>
      </c>
      <c r="J1976" t="s">
        <v>135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>"14:53:07.688"</f>
        <v>14:53:07.688</v>
      </c>
      <c r="T1976" t="str">
        <f>"14:53:07.188"</f>
        <v>14:53:07.188</v>
      </c>
      <c r="U1976" t="str">
        <f t="shared" si="96"/>
        <v>A0F928</v>
      </c>
      <c r="V1976">
        <v>0</v>
      </c>
      <c r="W1976">
        <v>0</v>
      </c>
      <c r="X1976">
        <v>2</v>
      </c>
      <c r="Z1976">
        <v>0</v>
      </c>
      <c r="AA1976">
        <v>9</v>
      </c>
      <c r="AB1976">
        <v>3</v>
      </c>
      <c r="AC1976">
        <v>0</v>
      </c>
      <c r="AD1976">
        <v>10</v>
      </c>
      <c r="AE1976">
        <v>0</v>
      </c>
      <c r="AF1976">
        <v>3</v>
      </c>
      <c r="AG1976">
        <v>2</v>
      </c>
      <c r="AH1976">
        <v>1</v>
      </c>
      <c r="AI1976" t="s">
        <v>1042</v>
      </c>
      <c r="AJ1976">
        <v>35.857058000000002</v>
      </c>
      <c r="AK1976" t="s">
        <v>1043</v>
      </c>
      <c r="AL1976">
        <v>-83.979084</v>
      </c>
      <c r="AM1976">
        <v>25</v>
      </c>
      <c r="AN1976">
        <v>1425</v>
      </c>
      <c r="AO1976" t="s">
        <v>118</v>
      </c>
      <c r="AP1976">
        <v>87</v>
      </c>
      <c r="AQ1976">
        <v>71</v>
      </c>
      <c r="AR1976">
        <v>-448</v>
      </c>
      <c r="AZ1976">
        <v>300</v>
      </c>
      <c r="BA1976">
        <v>1</v>
      </c>
      <c r="BB1976" t="str">
        <f t="shared" si="98"/>
        <v xml:space="preserve">N162AM  </v>
      </c>
      <c r="BC1976">
        <v>1</v>
      </c>
      <c r="BE1976">
        <v>0</v>
      </c>
      <c r="BF1976">
        <v>0</v>
      </c>
      <c r="BG1976">
        <v>0</v>
      </c>
      <c r="BH1976">
        <v>1700</v>
      </c>
      <c r="BI1976">
        <v>1</v>
      </c>
      <c r="BJ1976">
        <v>1</v>
      </c>
      <c r="BK1976">
        <v>1</v>
      </c>
      <c r="BL1976">
        <v>0</v>
      </c>
      <c r="BO1976">
        <v>0</v>
      </c>
      <c r="BP1976">
        <v>0</v>
      </c>
      <c r="BW1976" t="str">
        <f>"14:53:07.693"</f>
        <v>14:53:07.693</v>
      </c>
      <c r="CJ1976">
        <v>3</v>
      </c>
      <c r="CK1976">
        <v>2</v>
      </c>
      <c r="CL1976">
        <v>0</v>
      </c>
      <c r="CM1976">
        <v>2</v>
      </c>
      <c r="CN1976">
        <v>0</v>
      </c>
      <c r="CO1976">
        <v>3</v>
      </c>
      <c r="CP1976" t="s">
        <v>119</v>
      </c>
      <c r="CQ1976">
        <v>232</v>
      </c>
      <c r="CR1976">
        <v>2</v>
      </c>
      <c r="CW1976">
        <v>6993348</v>
      </c>
      <c r="CY1976">
        <v>1</v>
      </c>
      <c r="CZ1976">
        <v>0</v>
      </c>
      <c r="DA1976">
        <v>1</v>
      </c>
      <c r="DB1976">
        <v>0</v>
      </c>
      <c r="DC1976">
        <v>0</v>
      </c>
      <c r="DD1976">
        <v>1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3">
      <c r="A1977" t="str">
        <f>"12/16/2021 14:53:07.930"</f>
        <v>12/16/2021 14:53:07.930</v>
      </c>
      <c r="C1977" t="str">
        <f t="shared" si="97"/>
        <v>FFDFD3C0</v>
      </c>
      <c r="D1977" t="s">
        <v>113</v>
      </c>
      <c r="E1977">
        <v>8</v>
      </c>
      <c r="H1977">
        <v>176</v>
      </c>
      <c r="I1977" t="s">
        <v>114</v>
      </c>
      <c r="J1977" t="s">
        <v>115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>"14:53:07.688"</f>
        <v>14:53:07.688</v>
      </c>
      <c r="T1977" t="str">
        <f>"14:53:07.188"</f>
        <v>14:53:07.188</v>
      </c>
      <c r="U1977" t="str">
        <f t="shared" si="96"/>
        <v>A0F928</v>
      </c>
      <c r="V1977">
        <v>0</v>
      </c>
      <c r="W1977">
        <v>0</v>
      </c>
      <c r="X1977">
        <v>2</v>
      </c>
      <c r="Z1977">
        <v>0</v>
      </c>
      <c r="AA1977">
        <v>9</v>
      </c>
      <c r="AB1977">
        <v>3</v>
      </c>
      <c r="AC1977">
        <v>0</v>
      </c>
      <c r="AD1977">
        <v>10</v>
      </c>
      <c r="AE1977">
        <v>0</v>
      </c>
      <c r="AF1977">
        <v>3</v>
      </c>
      <c r="AG1977">
        <v>2</v>
      </c>
      <c r="AH1977">
        <v>1</v>
      </c>
      <c r="AI1977" t="s">
        <v>1042</v>
      </c>
      <c r="AJ1977">
        <v>35.857058000000002</v>
      </c>
      <c r="AK1977" t="s">
        <v>1043</v>
      </c>
      <c r="AL1977">
        <v>-83.979084</v>
      </c>
      <c r="AM1977">
        <v>25</v>
      </c>
      <c r="AN1977">
        <v>1425</v>
      </c>
      <c r="AO1977" t="s">
        <v>118</v>
      </c>
      <c r="AP1977">
        <v>87</v>
      </c>
      <c r="AQ1977">
        <v>71</v>
      </c>
      <c r="AR1977">
        <v>-448</v>
      </c>
      <c r="AZ1977">
        <v>300</v>
      </c>
      <c r="BA1977">
        <v>1</v>
      </c>
      <c r="BB1977" t="str">
        <f t="shared" si="98"/>
        <v xml:space="preserve">N162AM  </v>
      </c>
      <c r="BC1977">
        <v>1</v>
      </c>
      <c r="BE1977">
        <v>0</v>
      </c>
      <c r="BF1977">
        <v>0</v>
      </c>
      <c r="BG1977">
        <v>0</v>
      </c>
      <c r="BH1977">
        <v>1700</v>
      </c>
      <c r="BI1977">
        <v>1</v>
      </c>
      <c r="BJ1977">
        <v>1</v>
      </c>
      <c r="BK1977">
        <v>1</v>
      </c>
      <c r="BL1977">
        <v>0</v>
      </c>
      <c r="BO1977">
        <v>0</v>
      </c>
      <c r="BP1977">
        <v>0</v>
      </c>
      <c r="BW1977" t="str">
        <f>"14:53:07.693"</f>
        <v>14:53:07.693</v>
      </c>
      <c r="CJ1977">
        <v>3</v>
      </c>
      <c r="CK1977">
        <v>2</v>
      </c>
      <c r="CL1977">
        <v>0</v>
      </c>
      <c r="CM1977">
        <v>2</v>
      </c>
      <c r="CN1977">
        <v>0</v>
      </c>
      <c r="CO1977">
        <v>3</v>
      </c>
      <c r="CP1977" t="s">
        <v>119</v>
      </c>
      <c r="CQ1977">
        <v>232</v>
      </c>
      <c r="CR1977">
        <v>2</v>
      </c>
      <c r="CW1977">
        <v>6993348</v>
      </c>
      <c r="CY1977">
        <v>1</v>
      </c>
      <c r="CZ1977">
        <v>0</v>
      </c>
      <c r="DA1977">
        <v>1</v>
      </c>
      <c r="DB1977">
        <v>0</v>
      </c>
      <c r="DC1977">
        <v>0</v>
      </c>
      <c r="DD1977">
        <v>1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3">
      <c r="A1978" t="str">
        <f>"12/16/2021 14:53:09.086"</f>
        <v>12/16/2021 14:53:09.086</v>
      </c>
      <c r="C1978" t="str">
        <f t="shared" si="97"/>
        <v>FFDFD3C0</v>
      </c>
      <c r="D1978" t="s">
        <v>133</v>
      </c>
      <c r="E1978">
        <v>44</v>
      </c>
      <c r="H1978">
        <v>131</v>
      </c>
      <c r="I1978" t="s">
        <v>134</v>
      </c>
      <c r="J1978" t="s">
        <v>135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>"14:53:08.813"</f>
        <v>14:53:08.813</v>
      </c>
      <c r="T1978" t="str">
        <f>"14:53:08.313"</f>
        <v>14:53:08.313</v>
      </c>
      <c r="U1978" t="str">
        <f t="shared" si="96"/>
        <v>A0F928</v>
      </c>
      <c r="V1978">
        <v>0</v>
      </c>
      <c r="W1978">
        <v>0</v>
      </c>
      <c r="X1978">
        <v>2</v>
      </c>
      <c r="Z1978">
        <v>0</v>
      </c>
      <c r="AA1978">
        <v>9</v>
      </c>
      <c r="AB1978">
        <v>3</v>
      </c>
      <c r="AC1978">
        <v>0</v>
      </c>
      <c r="AD1978">
        <v>10</v>
      </c>
      <c r="AE1978">
        <v>0</v>
      </c>
      <c r="AF1978">
        <v>3</v>
      </c>
      <c r="AG1978">
        <v>2</v>
      </c>
      <c r="AH1978">
        <v>1</v>
      </c>
      <c r="AI1978" t="s">
        <v>1044</v>
      </c>
      <c r="AJ1978">
        <v>35.857357999999998</v>
      </c>
      <c r="AK1978" t="s">
        <v>1045</v>
      </c>
      <c r="AL1978">
        <v>-83.978527</v>
      </c>
      <c r="AM1978">
        <v>25</v>
      </c>
      <c r="AN1978">
        <v>1425</v>
      </c>
      <c r="AO1978" t="s">
        <v>118</v>
      </c>
      <c r="AP1978">
        <v>90</v>
      </c>
      <c r="AQ1978">
        <v>65</v>
      </c>
      <c r="AR1978">
        <v>-320</v>
      </c>
      <c r="AZ1978">
        <v>300</v>
      </c>
      <c r="BA1978">
        <v>1</v>
      </c>
      <c r="BB1978" t="str">
        <f t="shared" si="98"/>
        <v xml:space="preserve">N162AM  </v>
      </c>
      <c r="BC1978">
        <v>1</v>
      </c>
      <c r="BE1978">
        <v>0</v>
      </c>
      <c r="BF1978">
        <v>0</v>
      </c>
      <c r="BG1978">
        <v>0</v>
      </c>
      <c r="BH1978">
        <v>1675</v>
      </c>
      <c r="BI1978">
        <v>1</v>
      </c>
      <c r="BJ1978">
        <v>1</v>
      </c>
      <c r="BK1978">
        <v>1</v>
      </c>
      <c r="BL1978">
        <v>0</v>
      </c>
      <c r="BO1978">
        <v>0</v>
      </c>
      <c r="BP1978">
        <v>0</v>
      </c>
      <c r="BW1978" t="str">
        <f>"14:53:08.818"</f>
        <v>14:53:08.818</v>
      </c>
      <c r="CJ1978">
        <v>3</v>
      </c>
      <c r="CK1978">
        <v>2</v>
      </c>
      <c r="CL1978">
        <v>0</v>
      </c>
      <c r="CM1978">
        <v>2</v>
      </c>
      <c r="CN1978">
        <v>0</v>
      </c>
      <c r="CO1978">
        <v>2</v>
      </c>
      <c r="CP1978" t="s">
        <v>119</v>
      </c>
      <c r="CQ1978">
        <v>232</v>
      </c>
      <c r="CR1978">
        <v>2</v>
      </c>
      <c r="CW1978">
        <v>6995148</v>
      </c>
      <c r="CY1978">
        <v>1</v>
      </c>
      <c r="CZ1978">
        <v>0</v>
      </c>
      <c r="DA1978">
        <v>0</v>
      </c>
      <c r="DB1978">
        <v>0</v>
      </c>
      <c r="DC1978">
        <v>0</v>
      </c>
      <c r="DD1978">
        <v>1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3">
      <c r="A1979" t="str">
        <f>"12/16/2021 14:53:09.102"</f>
        <v>12/16/2021 14:53:09.102</v>
      </c>
      <c r="C1979" t="str">
        <f t="shared" si="97"/>
        <v>FFDFD3C0</v>
      </c>
      <c r="D1979" t="s">
        <v>113</v>
      </c>
      <c r="E1979">
        <v>8</v>
      </c>
      <c r="H1979">
        <v>176</v>
      </c>
      <c r="I1979" t="s">
        <v>114</v>
      </c>
      <c r="J1979" t="s">
        <v>115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>"14:53:08.813"</f>
        <v>14:53:08.813</v>
      </c>
      <c r="T1979" t="str">
        <f>"14:53:08.313"</f>
        <v>14:53:08.313</v>
      </c>
      <c r="U1979" t="str">
        <f t="shared" si="96"/>
        <v>A0F928</v>
      </c>
      <c r="V1979">
        <v>0</v>
      </c>
      <c r="W1979">
        <v>0</v>
      </c>
      <c r="X1979">
        <v>2</v>
      </c>
      <c r="Z1979">
        <v>0</v>
      </c>
      <c r="AA1979">
        <v>9</v>
      </c>
      <c r="AB1979">
        <v>3</v>
      </c>
      <c r="AC1979">
        <v>0</v>
      </c>
      <c r="AD1979">
        <v>10</v>
      </c>
      <c r="AE1979">
        <v>0</v>
      </c>
      <c r="AF1979">
        <v>3</v>
      </c>
      <c r="AG1979">
        <v>2</v>
      </c>
      <c r="AH1979">
        <v>1</v>
      </c>
      <c r="AI1979" t="s">
        <v>1044</v>
      </c>
      <c r="AJ1979">
        <v>35.857357999999998</v>
      </c>
      <c r="AK1979" t="s">
        <v>1045</v>
      </c>
      <c r="AL1979">
        <v>-83.978527</v>
      </c>
      <c r="AM1979">
        <v>25</v>
      </c>
      <c r="AN1979">
        <v>1425</v>
      </c>
      <c r="AO1979" t="s">
        <v>118</v>
      </c>
      <c r="AP1979">
        <v>90</v>
      </c>
      <c r="AQ1979">
        <v>65</v>
      </c>
      <c r="AR1979">
        <v>-320</v>
      </c>
      <c r="AZ1979">
        <v>300</v>
      </c>
      <c r="BA1979">
        <v>1</v>
      </c>
      <c r="BB1979" t="str">
        <f t="shared" si="98"/>
        <v xml:space="preserve">N162AM  </v>
      </c>
      <c r="BC1979">
        <v>1</v>
      </c>
      <c r="BE1979">
        <v>0</v>
      </c>
      <c r="BF1979">
        <v>0</v>
      </c>
      <c r="BG1979">
        <v>0</v>
      </c>
      <c r="BH1979">
        <v>1675</v>
      </c>
      <c r="BI1979">
        <v>1</v>
      </c>
      <c r="BJ1979">
        <v>1</v>
      </c>
      <c r="BK1979">
        <v>1</v>
      </c>
      <c r="BL1979">
        <v>0</v>
      </c>
      <c r="BO1979">
        <v>0</v>
      </c>
      <c r="BP1979">
        <v>0</v>
      </c>
      <c r="BW1979" t="str">
        <f>"14:53:08.818"</f>
        <v>14:53:08.818</v>
      </c>
      <c r="CJ1979">
        <v>3</v>
      </c>
      <c r="CK1979">
        <v>2</v>
      </c>
      <c r="CL1979">
        <v>0</v>
      </c>
      <c r="CM1979">
        <v>2</v>
      </c>
      <c r="CN1979">
        <v>0</v>
      </c>
      <c r="CO1979">
        <v>2</v>
      </c>
      <c r="CP1979" t="s">
        <v>119</v>
      </c>
      <c r="CQ1979">
        <v>232</v>
      </c>
      <c r="CR1979">
        <v>2</v>
      </c>
      <c r="CW1979">
        <v>6995148</v>
      </c>
      <c r="CY1979">
        <v>1</v>
      </c>
      <c r="CZ1979">
        <v>0</v>
      </c>
      <c r="DA1979">
        <v>1</v>
      </c>
      <c r="DB1979">
        <v>0</v>
      </c>
      <c r="DC1979">
        <v>0</v>
      </c>
      <c r="DD1979">
        <v>1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3">
      <c r="A1980" t="str">
        <f>"12/16/2021 14:53:09.102"</f>
        <v>12/16/2021 14:53:09.102</v>
      </c>
      <c r="C1980" t="str">
        <f t="shared" si="97"/>
        <v>FFDFD3C0</v>
      </c>
      <c r="D1980" t="s">
        <v>124</v>
      </c>
      <c r="E1980">
        <v>10</v>
      </c>
      <c r="F1980">
        <v>1010</v>
      </c>
      <c r="G1980" t="s">
        <v>130</v>
      </c>
      <c r="J1980" t="s">
        <v>125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>"14:53:08.813"</f>
        <v>14:53:08.813</v>
      </c>
      <c r="T1980" t="str">
        <f>"14:53:08.313"</f>
        <v>14:53:08.313</v>
      </c>
      <c r="U1980" t="str">
        <f t="shared" si="96"/>
        <v>A0F928</v>
      </c>
      <c r="V1980">
        <v>0</v>
      </c>
      <c r="W1980">
        <v>0</v>
      </c>
      <c r="X1980">
        <v>2</v>
      </c>
      <c r="Z1980">
        <v>0</v>
      </c>
      <c r="AA1980">
        <v>9</v>
      </c>
      <c r="AB1980">
        <v>3</v>
      </c>
      <c r="AC1980">
        <v>0</v>
      </c>
      <c r="AD1980">
        <v>10</v>
      </c>
      <c r="AE1980">
        <v>0</v>
      </c>
      <c r="AF1980">
        <v>3</v>
      </c>
      <c r="AG1980">
        <v>2</v>
      </c>
      <c r="AH1980">
        <v>1</v>
      </c>
      <c r="AI1980" t="s">
        <v>1044</v>
      </c>
      <c r="AJ1980">
        <v>35.857357999999998</v>
      </c>
      <c r="AK1980" t="s">
        <v>1045</v>
      </c>
      <c r="AL1980">
        <v>-83.978527</v>
      </c>
      <c r="AM1980">
        <v>25</v>
      </c>
      <c r="AN1980">
        <v>1425</v>
      </c>
      <c r="AO1980" t="s">
        <v>118</v>
      </c>
      <c r="AP1980">
        <v>90</v>
      </c>
      <c r="AQ1980">
        <v>65</v>
      </c>
      <c r="AR1980">
        <v>-320</v>
      </c>
      <c r="AZ1980">
        <v>300</v>
      </c>
      <c r="BA1980">
        <v>1</v>
      </c>
      <c r="BB1980" t="str">
        <f t="shared" si="98"/>
        <v xml:space="preserve">N162AM  </v>
      </c>
      <c r="BC1980">
        <v>1</v>
      </c>
      <c r="BE1980">
        <v>0</v>
      </c>
      <c r="BF1980">
        <v>0</v>
      </c>
      <c r="BG1980">
        <v>0</v>
      </c>
      <c r="BH1980">
        <v>1675</v>
      </c>
      <c r="BI1980">
        <v>1</v>
      </c>
      <c r="BJ1980">
        <v>1</v>
      </c>
      <c r="BK1980">
        <v>1</v>
      </c>
      <c r="BL1980">
        <v>0</v>
      </c>
      <c r="BO1980">
        <v>0</v>
      </c>
      <c r="BP1980">
        <v>0</v>
      </c>
      <c r="BW1980" t="str">
        <f>"14:53:08.818"</f>
        <v>14:53:08.818</v>
      </c>
      <c r="CJ1980">
        <v>3</v>
      </c>
      <c r="CK1980">
        <v>2</v>
      </c>
      <c r="CL1980">
        <v>0</v>
      </c>
      <c r="CM1980">
        <v>2</v>
      </c>
      <c r="CN1980">
        <v>0</v>
      </c>
      <c r="CO1980">
        <v>2</v>
      </c>
      <c r="CP1980" t="s">
        <v>119</v>
      </c>
      <c r="CQ1980">
        <v>232</v>
      </c>
      <c r="CR1980">
        <v>2</v>
      </c>
      <c r="CW1980">
        <v>6995148</v>
      </c>
      <c r="CY1980">
        <v>1</v>
      </c>
      <c r="CZ1980">
        <v>0</v>
      </c>
      <c r="DA1980">
        <v>1</v>
      </c>
      <c r="DB1980">
        <v>0</v>
      </c>
      <c r="DC1980">
        <v>0</v>
      </c>
      <c r="DD1980">
        <v>1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3">
      <c r="A1981" t="str">
        <f>"12/16/2021 14:53:09.102"</f>
        <v>12/16/2021 14:53:09.102</v>
      </c>
      <c r="C1981" t="str">
        <f t="shared" si="97"/>
        <v>FFDFD3C0</v>
      </c>
      <c r="D1981" t="s">
        <v>124</v>
      </c>
      <c r="E1981">
        <v>5</v>
      </c>
      <c r="F1981">
        <v>1005</v>
      </c>
      <c r="G1981" t="s">
        <v>114</v>
      </c>
      <c r="J1981" t="s">
        <v>125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>"14:53:08.813"</f>
        <v>14:53:08.813</v>
      </c>
      <c r="T1981" t="str">
        <f>"14:53:08.313"</f>
        <v>14:53:08.313</v>
      </c>
      <c r="U1981" t="str">
        <f t="shared" si="96"/>
        <v>A0F928</v>
      </c>
      <c r="V1981">
        <v>0</v>
      </c>
      <c r="W1981">
        <v>0</v>
      </c>
      <c r="X1981">
        <v>2</v>
      </c>
      <c r="Z1981">
        <v>0</v>
      </c>
      <c r="AA1981">
        <v>9</v>
      </c>
      <c r="AB1981">
        <v>3</v>
      </c>
      <c r="AC1981">
        <v>0</v>
      </c>
      <c r="AD1981">
        <v>10</v>
      </c>
      <c r="AE1981">
        <v>0</v>
      </c>
      <c r="AF1981">
        <v>3</v>
      </c>
      <c r="AG1981">
        <v>2</v>
      </c>
      <c r="AH1981">
        <v>1</v>
      </c>
      <c r="AI1981" t="s">
        <v>1044</v>
      </c>
      <c r="AJ1981">
        <v>35.857357999999998</v>
      </c>
      <c r="AK1981" t="s">
        <v>1045</v>
      </c>
      <c r="AL1981">
        <v>-83.978527</v>
      </c>
      <c r="AM1981">
        <v>25</v>
      </c>
      <c r="AN1981">
        <v>1425</v>
      </c>
      <c r="AO1981" t="s">
        <v>118</v>
      </c>
      <c r="AP1981">
        <v>90</v>
      </c>
      <c r="AQ1981">
        <v>65</v>
      </c>
      <c r="AR1981">
        <v>-320</v>
      </c>
      <c r="AZ1981">
        <v>300</v>
      </c>
      <c r="BA1981">
        <v>1</v>
      </c>
      <c r="BB1981" t="str">
        <f t="shared" si="98"/>
        <v xml:space="preserve">N162AM  </v>
      </c>
      <c r="BC1981">
        <v>1</v>
      </c>
      <c r="BE1981">
        <v>0</v>
      </c>
      <c r="BF1981">
        <v>0</v>
      </c>
      <c r="BG1981">
        <v>0</v>
      </c>
      <c r="BH1981">
        <v>1675</v>
      </c>
      <c r="BI1981">
        <v>1</v>
      </c>
      <c r="BJ1981">
        <v>1</v>
      </c>
      <c r="BK1981">
        <v>1</v>
      </c>
      <c r="BL1981">
        <v>0</v>
      </c>
      <c r="BO1981">
        <v>0</v>
      </c>
      <c r="BP1981">
        <v>0</v>
      </c>
      <c r="BW1981" t="str">
        <f>"14:53:08.818"</f>
        <v>14:53:08.818</v>
      </c>
      <c r="CJ1981">
        <v>3</v>
      </c>
      <c r="CK1981">
        <v>2</v>
      </c>
      <c r="CL1981">
        <v>0</v>
      </c>
      <c r="CM1981">
        <v>2</v>
      </c>
      <c r="CN1981">
        <v>0</v>
      </c>
      <c r="CO1981">
        <v>2</v>
      </c>
      <c r="CP1981" t="s">
        <v>119</v>
      </c>
      <c r="CQ1981">
        <v>232</v>
      </c>
      <c r="CR1981">
        <v>2</v>
      </c>
      <c r="CW1981">
        <v>6995148</v>
      </c>
      <c r="CY1981">
        <v>1</v>
      </c>
      <c r="CZ1981">
        <v>0</v>
      </c>
      <c r="DA1981">
        <v>1</v>
      </c>
      <c r="DB1981">
        <v>0</v>
      </c>
      <c r="DC1981">
        <v>0</v>
      </c>
      <c r="DD1981">
        <v>1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3">
      <c r="A1982" t="str">
        <f>"12/16/2021 14:53:10.070"</f>
        <v>12/16/2021 14:53:10.070</v>
      </c>
      <c r="C1982" t="str">
        <f t="shared" si="97"/>
        <v>FFDFD3C0</v>
      </c>
      <c r="D1982" t="s">
        <v>133</v>
      </c>
      <c r="E1982">
        <v>44</v>
      </c>
      <c r="H1982">
        <v>131</v>
      </c>
      <c r="I1982" t="s">
        <v>134</v>
      </c>
      <c r="J1982" t="s">
        <v>135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>"14:53:09.820"</f>
        <v>14:53:09.820</v>
      </c>
      <c r="T1982" t="str">
        <f>"14:53:09.420"</f>
        <v>14:53:09.420</v>
      </c>
      <c r="U1982" t="str">
        <f t="shared" si="96"/>
        <v>A0F928</v>
      </c>
      <c r="V1982">
        <v>0</v>
      </c>
      <c r="W1982">
        <v>0</v>
      </c>
      <c r="X1982">
        <v>2</v>
      </c>
      <c r="Z1982">
        <v>0</v>
      </c>
      <c r="AA1982">
        <v>9</v>
      </c>
      <c r="AB1982">
        <v>3</v>
      </c>
      <c r="AC1982">
        <v>0</v>
      </c>
      <c r="AD1982">
        <v>10</v>
      </c>
      <c r="AE1982">
        <v>0</v>
      </c>
      <c r="AF1982">
        <v>3</v>
      </c>
      <c r="AG1982">
        <v>2</v>
      </c>
      <c r="AH1982">
        <v>1</v>
      </c>
      <c r="AI1982" t="s">
        <v>1046</v>
      </c>
      <c r="AJ1982">
        <v>35.857636999999997</v>
      </c>
      <c r="AK1982" t="s">
        <v>1047</v>
      </c>
      <c r="AL1982">
        <v>-83.978012000000007</v>
      </c>
      <c r="AM1982">
        <v>25</v>
      </c>
      <c r="AN1982">
        <v>1425</v>
      </c>
      <c r="AO1982" t="s">
        <v>118</v>
      </c>
      <c r="AP1982">
        <v>93</v>
      </c>
      <c r="AQ1982">
        <v>61</v>
      </c>
      <c r="AR1982">
        <v>-256</v>
      </c>
      <c r="AZ1982">
        <v>300</v>
      </c>
      <c r="BA1982">
        <v>1</v>
      </c>
      <c r="BB1982" t="str">
        <f t="shared" si="98"/>
        <v xml:space="preserve">N162AM  </v>
      </c>
      <c r="BC1982">
        <v>1</v>
      </c>
      <c r="BE1982">
        <v>0</v>
      </c>
      <c r="BF1982">
        <v>0</v>
      </c>
      <c r="BG1982">
        <v>0</v>
      </c>
      <c r="BH1982">
        <v>1700</v>
      </c>
      <c r="BI1982">
        <v>1</v>
      </c>
      <c r="BJ1982">
        <v>1</v>
      </c>
      <c r="BK1982">
        <v>1</v>
      </c>
      <c r="BL1982">
        <v>0</v>
      </c>
      <c r="BO1982">
        <v>0</v>
      </c>
      <c r="BP1982">
        <v>0</v>
      </c>
      <c r="BW1982" t="str">
        <f>"14:53:09.824"</f>
        <v>14:53:09.824</v>
      </c>
      <c r="CJ1982">
        <v>3</v>
      </c>
      <c r="CK1982">
        <v>2</v>
      </c>
      <c r="CL1982">
        <v>0</v>
      </c>
      <c r="CM1982">
        <v>2</v>
      </c>
      <c r="CN1982">
        <v>0</v>
      </c>
      <c r="CO1982">
        <v>5</v>
      </c>
      <c r="CP1982" t="s">
        <v>119</v>
      </c>
      <c r="CQ1982">
        <v>232</v>
      </c>
      <c r="CR1982">
        <v>1</v>
      </c>
      <c r="CW1982">
        <v>15780945</v>
      </c>
      <c r="CY1982">
        <v>1</v>
      </c>
      <c r="CZ1982">
        <v>0</v>
      </c>
      <c r="DA1982">
        <v>0</v>
      </c>
      <c r="DB1982">
        <v>0</v>
      </c>
      <c r="DC1982">
        <v>0</v>
      </c>
      <c r="DD1982">
        <v>1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3">
      <c r="A1983" t="str">
        <f>"12/16/2021 14:53:10.070"</f>
        <v>12/16/2021 14:53:10.070</v>
      </c>
      <c r="C1983" t="str">
        <f t="shared" si="97"/>
        <v>FFDFD3C0</v>
      </c>
      <c r="D1983" t="s">
        <v>113</v>
      </c>
      <c r="E1983">
        <v>8</v>
      </c>
      <c r="H1983">
        <v>176</v>
      </c>
      <c r="I1983" t="s">
        <v>114</v>
      </c>
      <c r="J1983" t="s">
        <v>115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>"14:53:09.820"</f>
        <v>14:53:09.820</v>
      </c>
      <c r="T1983" t="str">
        <f>"14:53:09.420"</f>
        <v>14:53:09.420</v>
      </c>
      <c r="U1983" t="str">
        <f t="shared" si="96"/>
        <v>A0F928</v>
      </c>
      <c r="V1983">
        <v>0</v>
      </c>
      <c r="W1983">
        <v>0</v>
      </c>
      <c r="X1983">
        <v>2</v>
      </c>
      <c r="Z1983">
        <v>0</v>
      </c>
      <c r="AA1983">
        <v>9</v>
      </c>
      <c r="AB1983">
        <v>3</v>
      </c>
      <c r="AC1983">
        <v>0</v>
      </c>
      <c r="AD1983">
        <v>10</v>
      </c>
      <c r="AE1983">
        <v>0</v>
      </c>
      <c r="AF1983">
        <v>3</v>
      </c>
      <c r="AG1983">
        <v>2</v>
      </c>
      <c r="AH1983">
        <v>1</v>
      </c>
      <c r="AI1983" t="s">
        <v>1046</v>
      </c>
      <c r="AJ1983">
        <v>35.857636999999997</v>
      </c>
      <c r="AK1983" t="s">
        <v>1047</v>
      </c>
      <c r="AL1983">
        <v>-83.978012000000007</v>
      </c>
      <c r="AM1983">
        <v>25</v>
      </c>
      <c r="AN1983">
        <v>1425</v>
      </c>
      <c r="AO1983" t="s">
        <v>118</v>
      </c>
      <c r="AP1983">
        <v>93</v>
      </c>
      <c r="AQ1983">
        <v>61</v>
      </c>
      <c r="AR1983">
        <v>-256</v>
      </c>
      <c r="AZ1983">
        <v>300</v>
      </c>
      <c r="BA1983">
        <v>1</v>
      </c>
      <c r="BB1983" t="str">
        <f t="shared" si="98"/>
        <v xml:space="preserve">N162AM  </v>
      </c>
      <c r="BC1983">
        <v>1</v>
      </c>
      <c r="BE1983">
        <v>0</v>
      </c>
      <c r="BF1983">
        <v>0</v>
      </c>
      <c r="BG1983">
        <v>0</v>
      </c>
      <c r="BH1983">
        <v>1700</v>
      </c>
      <c r="BI1983">
        <v>1</v>
      </c>
      <c r="BJ1983">
        <v>1</v>
      </c>
      <c r="BK1983">
        <v>1</v>
      </c>
      <c r="BL1983">
        <v>0</v>
      </c>
      <c r="BO1983">
        <v>0</v>
      </c>
      <c r="BP1983">
        <v>0</v>
      </c>
      <c r="BW1983" t="str">
        <f>"14:53:09.824"</f>
        <v>14:53:09.824</v>
      </c>
      <c r="CJ1983">
        <v>3</v>
      </c>
      <c r="CK1983">
        <v>2</v>
      </c>
      <c r="CL1983">
        <v>0</v>
      </c>
      <c r="CM1983">
        <v>2</v>
      </c>
      <c r="CN1983">
        <v>0</v>
      </c>
      <c r="CO1983">
        <v>5</v>
      </c>
      <c r="CP1983" t="s">
        <v>119</v>
      </c>
      <c r="CQ1983">
        <v>232</v>
      </c>
      <c r="CR1983">
        <v>1</v>
      </c>
      <c r="CW1983">
        <v>15780945</v>
      </c>
      <c r="CY1983">
        <v>1</v>
      </c>
      <c r="CZ1983">
        <v>0</v>
      </c>
      <c r="DA1983">
        <v>1</v>
      </c>
      <c r="DB1983">
        <v>0</v>
      </c>
      <c r="DC1983">
        <v>0</v>
      </c>
      <c r="DD1983">
        <v>1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3">
      <c r="A1984" t="str">
        <f>"12/16/2021 14:53:10.070"</f>
        <v>12/16/2021 14:53:10.070</v>
      </c>
      <c r="C1984" t="str">
        <f t="shared" si="97"/>
        <v>FFDFD3C0</v>
      </c>
      <c r="D1984" t="s">
        <v>124</v>
      </c>
      <c r="E1984">
        <v>10</v>
      </c>
      <c r="F1984">
        <v>1010</v>
      </c>
      <c r="G1984" t="s">
        <v>130</v>
      </c>
      <c r="J1984" t="s">
        <v>125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>"14:53:09.820"</f>
        <v>14:53:09.820</v>
      </c>
      <c r="T1984" t="str">
        <f>"14:53:09.420"</f>
        <v>14:53:09.420</v>
      </c>
      <c r="U1984" t="str">
        <f t="shared" si="96"/>
        <v>A0F928</v>
      </c>
      <c r="V1984">
        <v>0</v>
      </c>
      <c r="W1984">
        <v>0</v>
      </c>
      <c r="X1984">
        <v>2</v>
      </c>
      <c r="Z1984">
        <v>0</v>
      </c>
      <c r="AA1984">
        <v>9</v>
      </c>
      <c r="AB1984">
        <v>3</v>
      </c>
      <c r="AC1984">
        <v>0</v>
      </c>
      <c r="AD1984">
        <v>10</v>
      </c>
      <c r="AE1984">
        <v>0</v>
      </c>
      <c r="AF1984">
        <v>3</v>
      </c>
      <c r="AG1984">
        <v>2</v>
      </c>
      <c r="AH1984">
        <v>1</v>
      </c>
      <c r="AI1984" t="s">
        <v>1046</v>
      </c>
      <c r="AJ1984">
        <v>35.857636999999997</v>
      </c>
      <c r="AK1984" t="s">
        <v>1047</v>
      </c>
      <c r="AL1984">
        <v>-83.978012000000007</v>
      </c>
      <c r="AM1984">
        <v>25</v>
      </c>
      <c r="AN1984">
        <v>1425</v>
      </c>
      <c r="AO1984" t="s">
        <v>118</v>
      </c>
      <c r="AP1984">
        <v>93</v>
      </c>
      <c r="AQ1984">
        <v>61</v>
      </c>
      <c r="AR1984">
        <v>-256</v>
      </c>
      <c r="AZ1984">
        <v>300</v>
      </c>
      <c r="BA1984">
        <v>1</v>
      </c>
      <c r="BB1984" t="str">
        <f t="shared" si="98"/>
        <v xml:space="preserve">N162AM  </v>
      </c>
      <c r="BC1984">
        <v>1</v>
      </c>
      <c r="BE1984">
        <v>0</v>
      </c>
      <c r="BF1984">
        <v>0</v>
      </c>
      <c r="BG1984">
        <v>0</v>
      </c>
      <c r="BH1984">
        <v>1700</v>
      </c>
      <c r="BI1984">
        <v>1</v>
      </c>
      <c r="BJ1984">
        <v>1</v>
      </c>
      <c r="BK1984">
        <v>1</v>
      </c>
      <c r="BL1984">
        <v>0</v>
      </c>
      <c r="BO1984">
        <v>0</v>
      </c>
      <c r="BP1984">
        <v>0</v>
      </c>
      <c r="BW1984" t="str">
        <f>"14:53:09.824"</f>
        <v>14:53:09.824</v>
      </c>
      <c r="CJ1984">
        <v>3</v>
      </c>
      <c r="CK1984">
        <v>2</v>
      </c>
      <c r="CL1984">
        <v>0</v>
      </c>
      <c r="CM1984">
        <v>2</v>
      </c>
      <c r="CN1984">
        <v>0</v>
      </c>
      <c r="CO1984">
        <v>5</v>
      </c>
      <c r="CP1984" t="s">
        <v>119</v>
      </c>
      <c r="CQ1984">
        <v>232</v>
      </c>
      <c r="CR1984">
        <v>1</v>
      </c>
      <c r="CW1984">
        <v>15780945</v>
      </c>
      <c r="CY1984">
        <v>1</v>
      </c>
      <c r="CZ1984">
        <v>0</v>
      </c>
      <c r="DA1984">
        <v>1</v>
      </c>
      <c r="DB1984">
        <v>0</v>
      </c>
      <c r="DC1984">
        <v>0</v>
      </c>
      <c r="DD1984">
        <v>1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3">
      <c r="A1985" t="str">
        <f>"12/16/2021 14:53:10.070"</f>
        <v>12/16/2021 14:53:10.070</v>
      </c>
      <c r="C1985" t="str">
        <f t="shared" si="97"/>
        <v>FFDFD3C0</v>
      </c>
      <c r="D1985" t="s">
        <v>124</v>
      </c>
      <c r="E1985">
        <v>5</v>
      </c>
      <c r="F1985">
        <v>1005</v>
      </c>
      <c r="G1985" t="s">
        <v>114</v>
      </c>
      <c r="J1985" t="s">
        <v>125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>"14:53:09.820"</f>
        <v>14:53:09.820</v>
      </c>
      <c r="T1985" t="str">
        <f>"14:53:09.420"</f>
        <v>14:53:09.420</v>
      </c>
      <c r="U1985" t="str">
        <f t="shared" si="96"/>
        <v>A0F928</v>
      </c>
      <c r="V1985">
        <v>0</v>
      </c>
      <c r="W1985">
        <v>0</v>
      </c>
      <c r="X1985">
        <v>2</v>
      </c>
      <c r="Z1985">
        <v>0</v>
      </c>
      <c r="AA1985">
        <v>9</v>
      </c>
      <c r="AB1985">
        <v>3</v>
      </c>
      <c r="AC1985">
        <v>0</v>
      </c>
      <c r="AD1985">
        <v>10</v>
      </c>
      <c r="AE1985">
        <v>0</v>
      </c>
      <c r="AF1985">
        <v>3</v>
      </c>
      <c r="AG1985">
        <v>2</v>
      </c>
      <c r="AH1985">
        <v>1</v>
      </c>
      <c r="AI1985" t="s">
        <v>1046</v>
      </c>
      <c r="AJ1985">
        <v>35.857636999999997</v>
      </c>
      <c r="AK1985" t="s">
        <v>1047</v>
      </c>
      <c r="AL1985">
        <v>-83.978012000000007</v>
      </c>
      <c r="AM1985">
        <v>25</v>
      </c>
      <c r="AN1985">
        <v>1425</v>
      </c>
      <c r="AO1985" t="s">
        <v>118</v>
      </c>
      <c r="AP1985">
        <v>93</v>
      </c>
      <c r="AQ1985">
        <v>61</v>
      </c>
      <c r="AR1985">
        <v>-256</v>
      </c>
      <c r="AZ1985">
        <v>300</v>
      </c>
      <c r="BA1985">
        <v>1</v>
      </c>
      <c r="BB1985" t="str">
        <f t="shared" si="98"/>
        <v xml:space="preserve">N162AM  </v>
      </c>
      <c r="BC1985">
        <v>1</v>
      </c>
      <c r="BE1985">
        <v>0</v>
      </c>
      <c r="BF1985">
        <v>0</v>
      </c>
      <c r="BG1985">
        <v>0</v>
      </c>
      <c r="BH1985">
        <v>1700</v>
      </c>
      <c r="BI1985">
        <v>1</v>
      </c>
      <c r="BJ1985">
        <v>1</v>
      </c>
      <c r="BK1985">
        <v>1</v>
      </c>
      <c r="BL1985">
        <v>0</v>
      </c>
      <c r="BO1985">
        <v>0</v>
      </c>
      <c r="BP1985">
        <v>0</v>
      </c>
      <c r="BW1985" t="str">
        <f>"14:53:09.824"</f>
        <v>14:53:09.824</v>
      </c>
      <c r="CJ1985">
        <v>3</v>
      </c>
      <c r="CK1985">
        <v>2</v>
      </c>
      <c r="CL1985">
        <v>0</v>
      </c>
      <c r="CM1985">
        <v>2</v>
      </c>
      <c r="CN1985">
        <v>0</v>
      </c>
      <c r="CO1985">
        <v>5</v>
      </c>
      <c r="CP1985" t="s">
        <v>119</v>
      </c>
      <c r="CQ1985">
        <v>232</v>
      </c>
      <c r="CR1985">
        <v>1</v>
      </c>
      <c r="CW1985">
        <v>15780945</v>
      </c>
      <c r="CY1985">
        <v>1</v>
      </c>
      <c r="CZ1985">
        <v>0</v>
      </c>
      <c r="DA1985">
        <v>1</v>
      </c>
      <c r="DB1985">
        <v>0</v>
      </c>
      <c r="DC1985">
        <v>0</v>
      </c>
      <c r="DD1985">
        <v>1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3">
      <c r="A1986" t="str">
        <f>"12/16/2021 14:53:11.039"</f>
        <v>12/16/2021 14:53:11.039</v>
      </c>
      <c r="C1986" t="str">
        <f t="shared" si="97"/>
        <v>FFDFD3C0</v>
      </c>
      <c r="D1986" t="s">
        <v>133</v>
      </c>
      <c r="E1986">
        <v>44</v>
      </c>
      <c r="H1986">
        <v>131</v>
      </c>
      <c r="I1986" t="s">
        <v>134</v>
      </c>
      <c r="J1986" t="s">
        <v>135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>"14:53:10.820"</f>
        <v>14:53:10.820</v>
      </c>
      <c r="T1986" t="str">
        <f>"14:53:09.920"</f>
        <v>14:53:09.920</v>
      </c>
      <c r="U1986" t="str">
        <f t="shared" ref="U1986:U2049" si="99">"A0F928"</f>
        <v>A0F928</v>
      </c>
      <c r="V1986">
        <v>0</v>
      </c>
      <c r="W1986">
        <v>0</v>
      </c>
      <c r="X1986">
        <v>2</v>
      </c>
      <c r="Z1986">
        <v>0</v>
      </c>
      <c r="AA1986">
        <v>9</v>
      </c>
      <c r="AB1986">
        <v>3</v>
      </c>
      <c r="AC1986">
        <v>0</v>
      </c>
      <c r="AD1986">
        <v>10</v>
      </c>
      <c r="AE1986">
        <v>0</v>
      </c>
      <c r="AF1986">
        <v>3</v>
      </c>
      <c r="AG1986">
        <v>2</v>
      </c>
      <c r="AH1986">
        <v>1</v>
      </c>
      <c r="AI1986" t="s">
        <v>1048</v>
      </c>
      <c r="AJ1986">
        <v>35.857916000000003</v>
      </c>
      <c r="AK1986" t="s">
        <v>1049</v>
      </c>
      <c r="AL1986">
        <v>-83.977431999999993</v>
      </c>
      <c r="AM1986">
        <v>25</v>
      </c>
      <c r="AN1986">
        <v>1425</v>
      </c>
      <c r="AO1986" t="s">
        <v>118</v>
      </c>
      <c r="AP1986">
        <v>94</v>
      </c>
      <c r="AQ1986">
        <v>59</v>
      </c>
      <c r="AR1986">
        <v>-256</v>
      </c>
      <c r="AZ1986">
        <v>300</v>
      </c>
      <c r="BA1986">
        <v>1</v>
      </c>
      <c r="BB1986" t="str">
        <f t="shared" si="98"/>
        <v xml:space="preserve">N162AM  </v>
      </c>
      <c r="BC1986">
        <v>1</v>
      </c>
      <c r="BE1986">
        <v>0</v>
      </c>
      <c r="BF1986">
        <v>0</v>
      </c>
      <c r="BG1986">
        <v>0</v>
      </c>
      <c r="BH1986">
        <v>1700</v>
      </c>
      <c r="BI1986">
        <v>1</v>
      </c>
      <c r="BJ1986">
        <v>1</v>
      </c>
      <c r="BK1986">
        <v>1</v>
      </c>
      <c r="BL1986">
        <v>0</v>
      </c>
      <c r="BO1986">
        <v>0</v>
      </c>
      <c r="BP1986">
        <v>0</v>
      </c>
      <c r="BW1986" t="str">
        <f>"14:53:10.824"</f>
        <v>14:53:10.824</v>
      </c>
      <c r="CJ1986">
        <v>3</v>
      </c>
      <c r="CK1986">
        <v>2</v>
      </c>
      <c r="CL1986">
        <v>0</v>
      </c>
      <c r="CM1986">
        <v>2</v>
      </c>
      <c r="CN1986">
        <v>0</v>
      </c>
      <c r="CO1986">
        <v>6</v>
      </c>
      <c r="CP1986" t="s">
        <v>119</v>
      </c>
      <c r="CQ1986">
        <v>232</v>
      </c>
      <c r="CR1986">
        <v>1</v>
      </c>
      <c r="CW1986">
        <v>15782312</v>
      </c>
      <c r="CY1986">
        <v>1</v>
      </c>
      <c r="CZ1986">
        <v>0</v>
      </c>
      <c r="DA1986">
        <v>0</v>
      </c>
      <c r="DB1986">
        <v>0</v>
      </c>
      <c r="DC1986">
        <v>0</v>
      </c>
      <c r="DD1986">
        <v>1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3">
      <c r="A1987" t="str">
        <f>"12/16/2021 14:53:11.039"</f>
        <v>12/16/2021 14:53:11.039</v>
      </c>
      <c r="C1987" t="str">
        <f t="shared" si="97"/>
        <v>FFDFD3C0</v>
      </c>
      <c r="D1987" t="s">
        <v>113</v>
      </c>
      <c r="E1987">
        <v>8</v>
      </c>
      <c r="H1987">
        <v>176</v>
      </c>
      <c r="I1987" t="s">
        <v>114</v>
      </c>
      <c r="J1987" t="s">
        <v>115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>"14:53:10.820"</f>
        <v>14:53:10.820</v>
      </c>
      <c r="T1987" t="str">
        <f>"14:53:09.920"</f>
        <v>14:53:09.920</v>
      </c>
      <c r="U1987" t="str">
        <f t="shared" si="99"/>
        <v>A0F928</v>
      </c>
      <c r="V1987">
        <v>0</v>
      </c>
      <c r="W1987">
        <v>0</v>
      </c>
      <c r="X1987">
        <v>2</v>
      </c>
      <c r="Z1987">
        <v>0</v>
      </c>
      <c r="AA1987">
        <v>9</v>
      </c>
      <c r="AB1987">
        <v>3</v>
      </c>
      <c r="AC1987">
        <v>0</v>
      </c>
      <c r="AD1987">
        <v>10</v>
      </c>
      <c r="AE1987">
        <v>0</v>
      </c>
      <c r="AF1987">
        <v>3</v>
      </c>
      <c r="AG1987">
        <v>2</v>
      </c>
      <c r="AH1987">
        <v>1</v>
      </c>
      <c r="AI1987" t="s">
        <v>1048</v>
      </c>
      <c r="AJ1987">
        <v>35.857916000000003</v>
      </c>
      <c r="AK1987" t="s">
        <v>1049</v>
      </c>
      <c r="AL1987">
        <v>-83.977431999999993</v>
      </c>
      <c r="AM1987">
        <v>25</v>
      </c>
      <c r="AN1987">
        <v>1425</v>
      </c>
      <c r="AO1987" t="s">
        <v>118</v>
      </c>
      <c r="AP1987">
        <v>94</v>
      </c>
      <c r="AQ1987">
        <v>59</v>
      </c>
      <c r="AR1987">
        <v>-256</v>
      </c>
      <c r="AZ1987">
        <v>300</v>
      </c>
      <c r="BA1987">
        <v>1</v>
      </c>
      <c r="BB1987" t="str">
        <f t="shared" si="98"/>
        <v xml:space="preserve">N162AM  </v>
      </c>
      <c r="BC1987">
        <v>1</v>
      </c>
      <c r="BE1987">
        <v>0</v>
      </c>
      <c r="BF1987">
        <v>0</v>
      </c>
      <c r="BG1987">
        <v>0</v>
      </c>
      <c r="BH1987">
        <v>1700</v>
      </c>
      <c r="BI1987">
        <v>1</v>
      </c>
      <c r="BJ1987">
        <v>1</v>
      </c>
      <c r="BK1987">
        <v>1</v>
      </c>
      <c r="BL1987">
        <v>0</v>
      </c>
      <c r="BO1987">
        <v>0</v>
      </c>
      <c r="BP1987">
        <v>0</v>
      </c>
      <c r="BW1987" t="str">
        <f>"14:53:10.824"</f>
        <v>14:53:10.824</v>
      </c>
      <c r="CJ1987">
        <v>3</v>
      </c>
      <c r="CK1987">
        <v>2</v>
      </c>
      <c r="CL1987">
        <v>0</v>
      </c>
      <c r="CM1987">
        <v>2</v>
      </c>
      <c r="CN1987">
        <v>0</v>
      </c>
      <c r="CO1987">
        <v>6</v>
      </c>
      <c r="CP1987" t="s">
        <v>119</v>
      </c>
      <c r="CQ1987">
        <v>232</v>
      </c>
      <c r="CR1987">
        <v>1</v>
      </c>
      <c r="CW1987">
        <v>15782312</v>
      </c>
      <c r="CY1987">
        <v>1</v>
      </c>
      <c r="CZ1987">
        <v>0</v>
      </c>
      <c r="DA1987">
        <v>1</v>
      </c>
      <c r="DB1987">
        <v>0</v>
      </c>
      <c r="DC1987">
        <v>0</v>
      </c>
      <c r="DD1987">
        <v>1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3">
      <c r="A1988" t="str">
        <f>"12/16/2021 14:53:11.039"</f>
        <v>12/16/2021 14:53:11.039</v>
      </c>
      <c r="C1988" t="str">
        <f t="shared" si="97"/>
        <v>FFDFD3C0</v>
      </c>
      <c r="D1988" t="s">
        <v>124</v>
      </c>
      <c r="E1988">
        <v>10</v>
      </c>
      <c r="F1988">
        <v>1010</v>
      </c>
      <c r="G1988" t="s">
        <v>130</v>
      </c>
      <c r="J1988" t="s">
        <v>125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>"14:53:10.820"</f>
        <v>14:53:10.820</v>
      </c>
      <c r="T1988" t="str">
        <f>"14:53:09.920"</f>
        <v>14:53:09.920</v>
      </c>
      <c r="U1988" t="str">
        <f t="shared" si="99"/>
        <v>A0F928</v>
      </c>
      <c r="V1988">
        <v>0</v>
      </c>
      <c r="W1988">
        <v>0</v>
      </c>
      <c r="X1988">
        <v>2</v>
      </c>
      <c r="Z1988">
        <v>0</v>
      </c>
      <c r="AA1988">
        <v>9</v>
      </c>
      <c r="AB1988">
        <v>3</v>
      </c>
      <c r="AC1988">
        <v>0</v>
      </c>
      <c r="AD1988">
        <v>10</v>
      </c>
      <c r="AE1988">
        <v>0</v>
      </c>
      <c r="AF1988">
        <v>0</v>
      </c>
      <c r="AG1988">
        <v>2</v>
      </c>
      <c r="AH1988">
        <v>1</v>
      </c>
      <c r="AI1988" t="s">
        <v>1048</v>
      </c>
      <c r="AJ1988">
        <v>35.857916000000003</v>
      </c>
      <c r="AK1988" t="s">
        <v>1049</v>
      </c>
      <c r="AL1988">
        <v>-83.977431999999993</v>
      </c>
      <c r="AM1988">
        <v>25</v>
      </c>
      <c r="AN1988">
        <v>1425</v>
      </c>
      <c r="AO1988" t="s">
        <v>118</v>
      </c>
      <c r="AP1988">
        <v>94</v>
      </c>
      <c r="AQ1988">
        <v>59</v>
      </c>
      <c r="AR1988">
        <v>-256</v>
      </c>
      <c r="AZ1988">
        <v>300</v>
      </c>
      <c r="BA1988">
        <v>1</v>
      </c>
      <c r="BB1988" t="str">
        <f t="shared" si="98"/>
        <v xml:space="preserve">N162AM  </v>
      </c>
      <c r="BC1988">
        <v>1</v>
      </c>
      <c r="BE1988">
        <v>0</v>
      </c>
      <c r="BF1988">
        <v>0</v>
      </c>
      <c r="BG1988">
        <v>0</v>
      </c>
      <c r="BH1988">
        <v>1700</v>
      </c>
      <c r="BI1988">
        <v>1</v>
      </c>
      <c r="BJ1988">
        <v>1</v>
      </c>
      <c r="BK1988">
        <v>1</v>
      </c>
      <c r="BL1988">
        <v>0</v>
      </c>
      <c r="BO1988">
        <v>0</v>
      </c>
      <c r="BP1988">
        <v>0</v>
      </c>
      <c r="BW1988" t="str">
        <f>"14:53:10.824"</f>
        <v>14:53:10.824</v>
      </c>
      <c r="CJ1988">
        <v>2</v>
      </c>
      <c r="CK1988">
        <v>2</v>
      </c>
      <c r="CL1988">
        <v>0</v>
      </c>
      <c r="CM1988">
        <v>2</v>
      </c>
      <c r="CN1988">
        <v>0</v>
      </c>
      <c r="CO1988">
        <v>6</v>
      </c>
      <c r="CP1988" t="s">
        <v>119</v>
      </c>
      <c r="CQ1988">
        <v>232</v>
      </c>
      <c r="CR1988">
        <v>1</v>
      </c>
      <c r="CW1988">
        <v>15782312</v>
      </c>
      <c r="CY1988">
        <v>1</v>
      </c>
      <c r="CZ1988">
        <v>0</v>
      </c>
      <c r="DA1988">
        <v>1</v>
      </c>
      <c r="DB1988">
        <v>0</v>
      </c>
      <c r="DC1988">
        <v>0</v>
      </c>
      <c r="DD1988">
        <v>1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3">
      <c r="A1989" t="str">
        <f>"12/16/2021 14:53:11.039"</f>
        <v>12/16/2021 14:53:11.039</v>
      </c>
      <c r="C1989" t="str">
        <f t="shared" si="97"/>
        <v>FFDFD3C0</v>
      </c>
      <c r="D1989" t="s">
        <v>124</v>
      </c>
      <c r="E1989">
        <v>5</v>
      </c>
      <c r="F1989">
        <v>1005</v>
      </c>
      <c r="G1989" t="s">
        <v>114</v>
      </c>
      <c r="J1989" t="s">
        <v>125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>"14:53:10.820"</f>
        <v>14:53:10.820</v>
      </c>
      <c r="T1989" t="str">
        <f>"14:53:09.920"</f>
        <v>14:53:09.920</v>
      </c>
      <c r="U1989" t="str">
        <f t="shared" si="99"/>
        <v>A0F928</v>
      </c>
      <c r="V1989">
        <v>0</v>
      </c>
      <c r="W1989">
        <v>0</v>
      </c>
      <c r="X1989">
        <v>2</v>
      </c>
      <c r="Z1989">
        <v>0</v>
      </c>
      <c r="AA1989">
        <v>9</v>
      </c>
      <c r="AB1989">
        <v>3</v>
      </c>
      <c r="AC1989">
        <v>0</v>
      </c>
      <c r="AD1989">
        <v>10</v>
      </c>
      <c r="AE1989">
        <v>0</v>
      </c>
      <c r="AF1989">
        <v>3</v>
      </c>
      <c r="AG1989">
        <v>2</v>
      </c>
      <c r="AH1989">
        <v>1</v>
      </c>
      <c r="AI1989" t="s">
        <v>1048</v>
      </c>
      <c r="AJ1989">
        <v>35.857916000000003</v>
      </c>
      <c r="AK1989" t="s">
        <v>1049</v>
      </c>
      <c r="AL1989">
        <v>-83.977431999999993</v>
      </c>
      <c r="AM1989">
        <v>25</v>
      </c>
      <c r="AN1989">
        <v>1425</v>
      </c>
      <c r="AO1989" t="s">
        <v>118</v>
      </c>
      <c r="AP1989">
        <v>94</v>
      </c>
      <c r="AQ1989">
        <v>59</v>
      </c>
      <c r="AR1989">
        <v>-256</v>
      </c>
      <c r="AZ1989">
        <v>300</v>
      </c>
      <c r="BA1989">
        <v>1</v>
      </c>
      <c r="BB1989" t="str">
        <f t="shared" si="98"/>
        <v xml:space="preserve">N162AM  </v>
      </c>
      <c r="BC1989">
        <v>1</v>
      </c>
      <c r="BE1989">
        <v>0</v>
      </c>
      <c r="BF1989">
        <v>0</v>
      </c>
      <c r="BG1989">
        <v>0</v>
      </c>
      <c r="BH1989">
        <v>1700</v>
      </c>
      <c r="BI1989">
        <v>1</v>
      </c>
      <c r="BJ1989">
        <v>1</v>
      </c>
      <c r="BK1989">
        <v>1</v>
      </c>
      <c r="BL1989">
        <v>0</v>
      </c>
      <c r="BO1989">
        <v>0</v>
      </c>
      <c r="BP1989">
        <v>0</v>
      </c>
      <c r="BW1989" t="str">
        <f>"14:53:10.824"</f>
        <v>14:53:10.824</v>
      </c>
      <c r="CJ1989">
        <v>3</v>
      </c>
      <c r="CK1989">
        <v>2</v>
      </c>
      <c r="CL1989">
        <v>0</v>
      </c>
      <c r="CM1989">
        <v>2</v>
      </c>
      <c r="CN1989">
        <v>0</v>
      </c>
      <c r="CO1989">
        <v>6</v>
      </c>
      <c r="CP1989" t="s">
        <v>119</v>
      </c>
      <c r="CQ1989">
        <v>232</v>
      </c>
      <c r="CR1989">
        <v>1</v>
      </c>
      <c r="CW1989">
        <v>15782312</v>
      </c>
      <c r="CY1989">
        <v>1</v>
      </c>
      <c r="CZ1989">
        <v>0</v>
      </c>
      <c r="DA1989">
        <v>1</v>
      </c>
      <c r="DB1989">
        <v>0</v>
      </c>
      <c r="DC1989">
        <v>0</v>
      </c>
      <c r="DD1989">
        <v>1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3">
      <c r="A1990" t="str">
        <f>"12/16/2021 14:53:12.086"</f>
        <v>12/16/2021 14:53:12.086</v>
      </c>
      <c r="C1990" t="str">
        <f t="shared" si="97"/>
        <v>FFDFD3C0</v>
      </c>
      <c r="D1990" t="s">
        <v>133</v>
      </c>
      <c r="E1990">
        <v>44</v>
      </c>
      <c r="H1990">
        <v>131</v>
      </c>
      <c r="I1990" t="s">
        <v>134</v>
      </c>
      <c r="J1990" t="s">
        <v>135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>"14:53:11.891"</f>
        <v>14:53:11.891</v>
      </c>
      <c r="T1990" t="str">
        <f>"14:53:11.491"</f>
        <v>14:53:11.491</v>
      </c>
      <c r="U1990" t="str">
        <f t="shared" si="99"/>
        <v>A0F928</v>
      </c>
      <c r="V1990">
        <v>0</v>
      </c>
      <c r="W1990">
        <v>0</v>
      </c>
      <c r="X1990">
        <v>2</v>
      </c>
      <c r="Z1990">
        <v>0</v>
      </c>
      <c r="AA1990">
        <v>9</v>
      </c>
      <c r="AB1990">
        <v>3</v>
      </c>
      <c r="AC1990">
        <v>0</v>
      </c>
      <c r="AD1990">
        <v>10</v>
      </c>
      <c r="AE1990">
        <v>0</v>
      </c>
      <c r="AF1990">
        <v>3</v>
      </c>
      <c r="AG1990">
        <v>2</v>
      </c>
      <c r="AH1990">
        <v>1</v>
      </c>
      <c r="AI1990" t="s">
        <v>1050</v>
      </c>
      <c r="AJ1990">
        <v>35.858173000000001</v>
      </c>
      <c r="AK1990" t="s">
        <v>1051</v>
      </c>
      <c r="AL1990">
        <v>-83.97681</v>
      </c>
      <c r="AM1990">
        <v>25</v>
      </c>
      <c r="AN1990">
        <v>1400</v>
      </c>
      <c r="AO1990" t="s">
        <v>118</v>
      </c>
      <c r="AP1990">
        <v>98</v>
      </c>
      <c r="AQ1990">
        <v>50</v>
      </c>
      <c r="AR1990">
        <v>-256</v>
      </c>
      <c r="AZ1990">
        <v>300</v>
      </c>
      <c r="BA1990">
        <v>1</v>
      </c>
      <c r="BB1990" t="str">
        <f t="shared" si="98"/>
        <v xml:space="preserve">N162AM  </v>
      </c>
      <c r="BC1990">
        <v>1</v>
      </c>
      <c r="BE1990">
        <v>0</v>
      </c>
      <c r="BF1990">
        <v>0</v>
      </c>
      <c r="BG1990">
        <v>0</v>
      </c>
      <c r="BH1990">
        <v>1675</v>
      </c>
      <c r="BI1990">
        <v>1</v>
      </c>
      <c r="BJ1990">
        <v>1</v>
      </c>
      <c r="BK1990">
        <v>1</v>
      </c>
      <c r="BL1990">
        <v>0</v>
      </c>
      <c r="BO1990">
        <v>0</v>
      </c>
      <c r="BP1990">
        <v>0</v>
      </c>
      <c r="BW1990" t="str">
        <f>"14:53:11.892"</f>
        <v>14:53:11.892</v>
      </c>
      <c r="CJ1990">
        <v>3</v>
      </c>
      <c r="CK1990">
        <v>2</v>
      </c>
      <c r="CL1990">
        <v>0</v>
      </c>
      <c r="CM1990">
        <v>2</v>
      </c>
      <c r="CN1990">
        <v>0</v>
      </c>
      <c r="CO1990">
        <v>5</v>
      </c>
      <c r="CP1990" t="s">
        <v>119</v>
      </c>
      <c r="CQ1990">
        <v>232</v>
      </c>
      <c r="CR1990">
        <v>2</v>
      </c>
      <c r="CW1990">
        <v>6999973</v>
      </c>
      <c r="CY1990">
        <v>1</v>
      </c>
      <c r="CZ1990">
        <v>0</v>
      </c>
      <c r="DA1990">
        <v>0</v>
      </c>
      <c r="DB1990">
        <v>0</v>
      </c>
      <c r="DC1990">
        <v>0</v>
      </c>
      <c r="DD1990">
        <v>1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3">
      <c r="A1991" t="str">
        <f>"12/16/2021 14:53:12.086"</f>
        <v>12/16/2021 14:53:12.086</v>
      </c>
      <c r="C1991" t="str">
        <f t="shared" si="97"/>
        <v>FFDFD3C0</v>
      </c>
      <c r="D1991" t="s">
        <v>113</v>
      </c>
      <c r="E1991">
        <v>8</v>
      </c>
      <c r="H1991">
        <v>176</v>
      </c>
      <c r="I1991" t="s">
        <v>114</v>
      </c>
      <c r="J1991" t="s">
        <v>115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>"14:53:11.891"</f>
        <v>14:53:11.891</v>
      </c>
      <c r="T1991" t="str">
        <f>"14:53:11.491"</f>
        <v>14:53:11.491</v>
      </c>
      <c r="U1991" t="str">
        <f t="shared" si="99"/>
        <v>A0F928</v>
      </c>
      <c r="V1991">
        <v>0</v>
      </c>
      <c r="W1991">
        <v>0</v>
      </c>
      <c r="X1991">
        <v>2</v>
      </c>
      <c r="Z1991">
        <v>0</v>
      </c>
      <c r="AA1991">
        <v>9</v>
      </c>
      <c r="AB1991">
        <v>3</v>
      </c>
      <c r="AC1991">
        <v>0</v>
      </c>
      <c r="AD1991">
        <v>10</v>
      </c>
      <c r="AE1991">
        <v>0</v>
      </c>
      <c r="AF1991">
        <v>3</v>
      </c>
      <c r="AG1991">
        <v>2</v>
      </c>
      <c r="AH1991">
        <v>1</v>
      </c>
      <c r="AI1991" t="s">
        <v>1050</v>
      </c>
      <c r="AJ1991">
        <v>35.858173000000001</v>
      </c>
      <c r="AK1991" t="s">
        <v>1051</v>
      </c>
      <c r="AL1991">
        <v>-83.97681</v>
      </c>
      <c r="AM1991">
        <v>25</v>
      </c>
      <c r="AN1991">
        <v>1400</v>
      </c>
      <c r="AO1991" t="s">
        <v>118</v>
      </c>
      <c r="AP1991">
        <v>98</v>
      </c>
      <c r="AQ1991">
        <v>50</v>
      </c>
      <c r="AR1991">
        <v>-256</v>
      </c>
      <c r="AZ1991">
        <v>300</v>
      </c>
      <c r="BA1991">
        <v>1</v>
      </c>
      <c r="BB1991" t="str">
        <f t="shared" si="98"/>
        <v xml:space="preserve">N162AM  </v>
      </c>
      <c r="BC1991">
        <v>1</v>
      </c>
      <c r="BE1991">
        <v>0</v>
      </c>
      <c r="BF1991">
        <v>0</v>
      </c>
      <c r="BG1991">
        <v>0</v>
      </c>
      <c r="BH1991">
        <v>1675</v>
      </c>
      <c r="BI1991">
        <v>1</v>
      </c>
      <c r="BJ1991">
        <v>1</v>
      </c>
      <c r="BK1991">
        <v>1</v>
      </c>
      <c r="BL1991">
        <v>0</v>
      </c>
      <c r="BO1991">
        <v>0</v>
      </c>
      <c r="BP1991">
        <v>0</v>
      </c>
      <c r="BW1991" t="str">
        <f>"14:53:11.892"</f>
        <v>14:53:11.892</v>
      </c>
      <c r="CJ1991">
        <v>3</v>
      </c>
      <c r="CK1991">
        <v>2</v>
      </c>
      <c r="CL1991">
        <v>0</v>
      </c>
      <c r="CM1991">
        <v>2</v>
      </c>
      <c r="CN1991">
        <v>0</v>
      </c>
      <c r="CO1991">
        <v>5</v>
      </c>
      <c r="CP1991" t="s">
        <v>119</v>
      </c>
      <c r="CQ1991">
        <v>232</v>
      </c>
      <c r="CR1991">
        <v>2</v>
      </c>
      <c r="CW1991">
        <v>6999973</v>
      </c>
      <c r="CY1991">
        <v>1</v>
      </c>
      <c r="CZ1991">
        <v>0</v>
      </c>
      <c r="DA1991">
        <v>1</v>
      </c>
      <c r="DB1991">
        <v>0</v>
      </c>
      <c r="DC1991">
        <v>0</v>
      </c>
      <c r="DD1991">
        <v>1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3">
      <c r="A1992" t="str">
        <f>"12/16/2021 14:53:12.133"</f>
        <v>12/16/2021 14:53:12.133</v>
      </c>
      <c r="C1992" t="str">
        <f t="shared" si="97"/>
        <v>FFDFD3C0</v>
      </c>
      <c r="D1992" t="s">
        <v>124</v>
      </c>
      <c r="E1992">
        <v>5</v>
      </c>
      <c r="F1992">
        <v>1005</v>
      </c>
      <c r="G1992" t="s">
        <v>114</v>
      </c>
      <c r="J1992" t="s">
        <v>125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>"14:53:11.891"</f>
        <v>14:53:11.891</v>
      </c>
      <c r="T1992" t="str">
        <f>"14:53:11.491"</f>
        <v>14:53:11.491</v>
      </c>
      <c r="U1992" t="str">
        <f t="shared" si="99"/>
        <v>A0F928</v>
      </c>
      <c r="V1992">
        <v>0</v>
      </c>
      <c r="W1992">
        <v>0</v>
      </c>
      <c r="X1992">
        <v>2</v>
      </c>
      <c r="Z1992">
        <v>0</v>
      </c>
      <c r="AA1992">
        <v>9</v>
      </c>
      <c r="AB1992">
        <v>3</v>
      </c>
      <c r="AC1992">
        <v>0</v>
      </c>
      <c r="AD1992">
        <v>10</v>
      </c>
      <c r="AE1992">
        <v>0</v>
      </c>
      <c r="AF1992">
        <v>3</v>
      </c>
      <c r="AG1992">
        <v>2</v>
      </c>
      <c r="AH1992">
        <v>1</v>
      </c>
      <c r="AI1992" t="s">
        <v>1050</v>
      </c>
      <c r="AJ1992">
        <v>35.858173000000001</v>
      </c>
      <c r="AK1992" t="s">
        <v>1051</v>
      </c>
      <c r="AL1992">
        <v>-83.97681</v>
      </c>
      <c r="AM1992">
        <v>25</v>
      </c>
      <c r="AN1992">
        <v>1400</v>
      </c>
      <c r="AO1992" t="s">
        <v>118</v>
      </c>
      <c r="AP1992">
        <v>98</v>
      </c>
      <c r="AQ1992">
        <v>50</v>
      </c>
      <c r="AR1992">
        <v>-256</v>
      </c>
      <c r="AZ1992">
        <v>300</v>
      </c>
      <c r="BA1992">
        <v>1</v>
      </c>
      <c r="BB1992" t="str">
        <f t="shared" si="98"/>
        <v xml:space="preserve">N162AM  </v>
      </c>
      <c r="BC1992">
        <v>1</v>
      </c>
      <c r="BE1992">
        <v>0</v>
      </c>
      <c r="BF1992">
        <v>0</v>
      </c>
      <c r="BG1992">
        <v>0</v>
      </c>
      <c r="BH1992">
        <v>1675</v>
      </c>
      <c r="BI1992">
        <v>1</v>
      </c>
      <c r="BJ1992">
        <v>1</v>
      </c>
      <c r="BK1992">
        <v>1</v>
      </c>
      <c r="BL1992">
        <v>0</v>
      </c>
      <c r="BO1992">
        <v>0</v>
      </c>
      <c r="BP1992">
        <v>0</v>
      </c>
      <c r="BW1992" t="str">
        <f>"14:53:11.892"</f>
        <v>14:53:11.892</v>
      </c>
      <c r="CJ1992">
        <v>3</v>
      </c>
      <c r="CK1992">
        <v>2</v>
      </c>
      <c r="CL1992">
        <v>0</v>
      </c>
      <c r="CM1992">
        <v>2</v>
      </c>
      <c r="CN1992">
        <v>0</v>
      </c>
      <c r="CO1992">
        <v>5</v>
      </c>
      <c r="CP1992" t="s">
        <v>119</v>
      </c>
      <c r="CQ1992">
        <v>232</v>
      </c>
      <c r="CR1992">
        <v>2</v>
      </c>
      <c r="CW1992">
        <v>6999973</v>
      </c>
      <c r="CY1992">
        <v>1</v>
      </c>
      <c r="CZ1992">
        <v>0</v>
      </c>
      <c r="DA1992">
        <v>1</v>
      </c>
      <c r="DB1992">
        <v>0</v>
      </c>
      <c r="DC1992">
        <v>0</v>
      </c>
      <c r="DD1992">
        <v>1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3">
      <c r="A1993" t="str">
        <f>"12/16/2021 14:53:12.211"</f>
        <v>12/16/2021 14:53:12.211</v>
      </c>
      <c r="C1993" t="str">
        <f t="shared" si="97"/>
        <v>FFDFD3C0</v>
      </c>
      <c r="D1993" t="s">
        <v>124</v>
      </c>
      <c r="E1993">
        <v>10</v>
      </c>
      <c r="F1993">
        <v>1010</v>
      </c>
      <c r="G1993" t="s">
        <v>130</v>
      </c>
      <c r="J1993" t="s">
        <v>125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>"14:53:11.891"</f>
        <v>14:53:11.891</v>
      </c>
      <c r="T1993" t="str">
        <f>"14:53:11.491"</f>
        <v>14:53:11.491</v>
      </c>
      <c r="U1993" t="str">
        <f t="shared" si="99"/>
        <v>A0F928</v>
      </c>
      <c r="V1993">
        <v>0</v>
      </c>
      <c r="W1993">
        <v>0</v>
      </c>
      <c r="X1993">
        <v>2</v>
      </c>
      <c r="Z1993">
        <v>0</v>
      </c>
      <c r="AA1993">
        <v>9</v>
      </c>
      <c r="AB1993">
        <v>3</v>
      </c>
      <c r="AC1993">
        <v>0</v>
      </c>
      <c r="AD1993">
        <v>10</v>
      </c>
      <c r="AE1993">
        <v>0</v>
      </c>
      <c r="AF1993">
        <v>0</v>
      </c>
      <c r="AG1993">
        <v>2</v>
      </c>
      <c r="AH1993">
        <v>1</v>
      </c>
      <c r="AI1993" t="s">
        <v>1050</v>
      </c>
      <c r="AJ1993">
        <v>35.858173000000001</v>
      </c>
      <c r="AK1993" t="s">
        <v>1051</v>
      </c>
      <c r="AL1993">
        <v>-83.97681</v>
      </c>
      <c r="AM1993">
        <v>25</v>
      </c>
      <c r="AN1993">
        <v>1400</v>
      </c>
      <c r="AO1993" t="s">
        <v>118</v>
      </c>
      <c r="AP1993">
        <v>98</v>
      </c>
      <c r="AQ1993">
        <v>50</v>
      </c>
      <c r="AR1993">
        <v>-256</v>
      </c>
      <c r="AZ1993">
        <v>300</v>
      </c>
      <c r="BA1993">
        <v>1</v>
      </c>
      <c r="BB1993" t="str">
        <f t="shared" si="98"/>
        <v xml:space="preserve">N162AM  </v>
      </c>
      <c r="BC1993">
        <v>1</v>
      </c>
      <c r="BE1993">
        <v>0</v>
      </c>
      <c r="BF1993">
        <v>0</v>
      </c>
      <c r="BG1993">
        <v>0</v>
      </c>
      <c r="BH1993">
        <v>1675</v>
      </c>
      <c r="BI1993">
        <v>1</v>
      </c>
      <c r="BJ1993">
        <v>1</v>
      </c>
      <c r="BK1993">
        <v>1</v>
      </c>
      <c r="BL1993">
        <v>0</v>
      </c>
      <c r="BO1993">
        <v>0</v>
      </c>
      <c r="BP1993">
        <v>0</v>
      </c>
      <c r="BW1993" t="str">
        <f>"14:53:11.892"</f>
        <v>14:53:11.892</v>
      </c>
      <c r="CJ1993">
        <v>2</v>
      </c>
      <c r="CK1993">
        <v>2</v>
      </c>
      <c r="CL1993">
        <v>0</v>
      </c>
      <c r="CM1993">
        <v>2</v>
      </c>
      <c r="CN1993">
        <v>0</v>
      </c>
      <c r="CO1993">
        <v>5</v>
      </c>
      <c r="CP1993" t="s">
        <v>119</v>
      </c>
      <c r="CQ1993">
        <v>232</v>
      </c>
      <c r="CR1993">
        <v>2</v>
      </c>
      <c r="CW1993">
        <v>6999973</v>
      </c>
      <c r="CY1993">
        <v>1</v>
      </c>
      <c r="CZ1993">
        <v>0</v>
      </c>
      <c r="DA1993">
        <v>1</v>
      </c>
      <c r="DB1993">
        <v>0</v>
      </c>
      <c r="DC1993">
        <v>0</v>
      </c>
      <c r="DD1993">
        <v>1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3">
      <c r="A1994" t="str">
        <f>"12/16/2021 14:53:13.242"</f>
        <v>12/16/2021 14:53:13.242</v>
      </c>
      <c r="C1994" t="str">
        <f t="shared" si="97"/>
        <v>FFDFD3C0</v>
      </c>
      <c r="D1994" t="s">
        <v>133</v>
      </c>
      <c r="E1994">
        <v>44</v>
      </c>
      <c r="H1994">
        <v>131</v>
      </c>
      <c r="I1994" t="s">
        <v>134</v>
      </c>
      <c r="J1994" t="s">
        <v>135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>"14:53:13.031"</f>
        <v>14:53:13.031</v>
      </c>
      <c r="T1994" t="str">
        <f>"14:53:12.531"</f>
        <v>14:53:12.531</v>
      </c>
      <c r="U1994" t="str">
        <f t="shared" si="99"/>
        <v>A0F928</v>
      </c>
      <c r="V1994">
        <v>0</v>
      </c>
      <c r="W1994">
        <v>0</v>
      </c>
      <c r="X1994">
        <v>2</v>
      </c>
      <c r="Z1994">
        <v>0</v>
      </c>
      <c r="AA1994">
        <v>9</v>
      </c>
      <c r="AB1994">
        <v>3</v>
      </c>
      <c r="AC1994">
        <v>0</v>
      </c>
      <c r="AD1994">
        <v>10</v>
      </c>
      <c r="AE1994">
        <v>0</v>
      </c>
      <c r="AF1994">
        <v>3</v>
      </c>
      <c r="AG1994">
        <v>2</v>
      </c>
      <c r="AH1994">
        <v>1</v>
      </c>
      <c r="AI1994" t="s">
        <v>1052</v>
      </c>
      <c r="AJ1994">
        <v>35.858365999999997</v>
      </c>
      <c r="AK1994" t="s">
        <v>1053</v>
      </c>
      <c r="AL1994">
        <v>-83.976230999999999</v>
      </c>
      <c r="AM1994">
        <v>25</v>
      </c>
      <c r="AN1994">
        <v>1400</v>
      </c>
      <c r="AO1994" t="s">
        <v>118</v>
      </c>
      <c r="AP1994">
        <v>100</v>
      </c>
      <c r="AQ1994">
        <v>43</v>
      </c>
      <c r="AR1994">
        <v>-256</v>
      </c>
      <c r="AZ1994">
        <v>300</v>
      </c>
      <c r="BA1994">
        <v>1</v>
      </c>
      <c r="BB1994" t="str">
        <f t="shared" si="98"/>
        <v xml:space="preserve">N162AM  </v>
      </c>
      <c r="BC1994">
        <v>1</v>
      </c>
      <c r="BE1994">
        <v>0</v>
      </c>
      <c r="BF1994">
        <v>0</v>
      </c>
      <c r="BG1994">
        <v>0</v>
      </c>
      <c r="BH1994">
        <v>1650</v>
      </c>
      <c r="BI1994">
        <v>1</v>
      </c>
      <c r="BJ1994">
        <v>1</v>
      </c>
      <c r="BK1994">
        <v>1</v>
      </c>
      <c r="BL1994">
        <v>0</v>
      </c>
      <c r="BO1994">
        <v>0</v>
      </c>
      <c r="BP1994">
        <v>0</v>
      </c>
      <c r="BW1994" t="str">
        <f>"14:53:13.034"</f>
        <v>14:53:13.034</v>
      </c>
      <c r="CJ1994">
        <v>3</v>
      </c>
      <c r="CK1994">
        <v>2</v>
      </c>
      <c r="CL1994">
        <v>0</v>
      </c>
      <c r="CM1994">
        <v>2</v>
      </c>
      <c r="CN1994">
        <v>0</v>
      </c>
      <c r="CO1994">
        <v>6</v>
      </c>
      <c r="CP1994" t="s">
        <v>119</v>
      </c>
      <c r="CQ1994">
        <v>232</v>
      </c>
      <c r="CR1994">
        <v>2</v>
      </c>
      <c r="CW1994">
        <v>7001765</v>
      </c>
      <c r="CY1994">
        <v>1</v>
      </c>
      <c r="CZ1994">
        <v>0</v>
      </c>
      <c r="DA1994">
        <v>0</v>
      </c>
      <c r="DB1994">
        <v>0</v>
      </c>
      <c r="DC1994">
        <v>0</v>
      </c>
      <c r="DD1994">
        <v>1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3">
      <c r="A1995" t="str">
        <f>"12/16/2021 14:53:13.242"</f>
        <v>12/16/2021 14:53:13.242</v>
      </c>
      <c r="C1995" t="str">
        <f t="shared" si="97"/>
        <v>FFDFD3C0</v>
      </c>
      <c r="D1995" t="s">
        <v>124</v>
      </c>
      <c r="E1995">
        <v>5</v>
      </c>
      <c r="F1995">
        <v>1005</v>
      </c>
      <c r="G1995" t="s">
        <v>114</v>
      </c>
      <c r="J1995" t="s">
        <v>125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>"14:53:13.031"</f>
        <v>14:53:13.031</v>
      </c>
      <c r="T1995" t="str">
        <f>"14:53:12.531"</f>
        <v>14:53:12.531</v>
      </c>
      <c r="U1995" t="str">
        <f t="shared" si="99"/>
        <v>A0F928</v>
      </c>
      <c r="V1995">
        <v>0</v>
      </c>
      <c r="W1995">
        <v>0</v>
      </c>
      <c r="X1995">
        <v>2</v>
      </c>
      <c r="Z1995">
        <v>0</v>
      </c>
      <c r="AA1995">
        <v>9</v>
      </c>
      <c r="AB1995">
        <v>3</v>
      </c>
      <c r="AC1995">
        <v>0</v>
      </c>
      <c r="AD1995">
        <v>10</v>
      </c>
      <c r="AE1995">
        <v>0</v>
      </c>
      <c r="AF1995">
        <v>3</v>
      </c>
      <c r="AG1995">
        <v>2</v>
      </c>
      <c r="AH1995">
        <v>1</v>
      </c>
      <c r="AI1995" t="s">
        <v>1052</v>
      </c>
      <c r="AJ1995">
        <v>35.858365999999997</v>
      </c>
      <c r="AK1995" t="s">
        <v>1053</v>
      </c>
      <c r="AL1995">
        <v>-83.976230999999999</v>
      </c>
      <c r="AM1995">
        <v>25</v>
      </c>
      <c r="AN1995">
        <v>1400</v>
      </c>
      <c r="AO1995" t="s">
        <v>118</v>
      </c>
      <c r="AP1995">
        <v>100</v>
      </c>
      <c r="AQ1995">
        <v>43</v>
      </c>
      <c r="AR1995">
        <v>-256</v>
      </c>
      <c r="AZ1995">
        <v>300</v>
      </c>
      <c r="BA1995">
        <v>1</v>
      </c>
      <c r="BB1995" t="str">
        <f t="shared" si="98"/>
        <v xml:space="preserve">N162AM  </v>
      </c>
      <c r="BC1995">
        <v>1</v>
      </c>
      <c r="BE1995">
        <v>0</v>
      </c>
      <c r="BF1995">
        <v>0</v>
      </c>
      <c r="BG1995">
        <v>0</v>
      </c>
      <c r="BH1995">
        <v>1650</v>
      </c>
      <c r="BI1995">
        <v>1</v>
      </c>
      <c r="BJ1995">
        <v>1</v>
      </c>
      <c r="BK1995">
        <v>1</v>
      </c>
      <c r="BL1995">
        <v>0</v>
      </c>
      <c r="BO1995">
        <v>0</v>
      </c>
      <c r="BP1995">
        <v>0</v>
      </c>
      <c r="BW1995" t="str">
        <f>"14:53:13.034"</f>
        <v>14:53:13.034</v>
      </c>
      <c r="CJ1995">
        <v>3</v>
      </c>
      <c r="CK1995">
        <v>2</v>
      </c>
      <c r="CL1995">
        <v>0</v>
      </c>
      <c r="CM1995">
        <v>2</v>
      </c>
      <c r="CN1995">
        <v>0</v>
      </c>
      <c r="CO1995">
        <v>6</v>
      </c>
      <c r="CP1995" t="s">
        <v>119</v>
      </c>
      <c r="CQ1995">
        <v>232</v>
      </c>
      <c r="CR1995">
        <v>2</v>
      </c>
      <c r="CW1995">
        <v>7001765</v>
      </c>
      <c r="CY1995">
        <v>1</v>
      </c>
      <c r="CZ1995">
        <v>0</v>
      </c>
      <c r="DA1995">
        <v>1</v>
      </c>
      <c r="DB1995">
        <v>0</v>
      </c>
      <c r="DC1995">
        <v>0</v>
      </c>
      <c r="DD1995">
        <v>1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3">
      <c r="A1996" t="str">
        <f>"12/16/2021 14:53:13.242"</f>
        <v>12/16/2021 14:53:13.242</v>
      </c>
      <c r="C1996" t="str">
        <f t="shared" si="97"/>
        <v>FFDFD3C0</v>
      </c>
      <c r="D1996" t="s">
        <v>113</v>
      </c>
      <c r="E1996">
        <v>8</v>
      </c>
      <c r="H1996">
        <v>176</v>
      </c>
      <c r="I1996" t="s">
        <v>114</v>
      </c>
      <c r="J1996" t="s">
        <v>115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>"14:53:13.031"</f>
        <v>14:53:13.031</v>
      </c>
      <c r="T1996" t="str">
        <f>"14:53:12.531"</f>
        <v>14:53:12.531</v>
      </c>
      <c r="U1996" t="str">
        <f t="shared" si="99"/>
        <v>A0F928</v>
      </c>
      <c r="V1996">
        <v>0</v>
      </c>
      <c r="W1996">
        <v>0</v>
      </c>
      <c r="X1996">
        <v>2</v>
      </c>
      <c r="Z1996">
        <v>0</v>
      </c>
      <c r="AA1996">
        <v>9</v>
      </c>
      <c r="AB1996">
        <v>3</v>
      </c>
      <c r="AC1996">
        <v>0</v>
      </c>
      <c r="AD1996">
        <v>10</v>
      </c>
      <c r="AE1996">
        <v>0</v>
      </c>
      <c r="AF1996">
        <v>3</v>
      </c>
      <c r="AG1996">
        <v>2</v>
      </c>
      <c r="AH1996">
        <v>1</v>
      </c>
      <c r="AI1996" t="s">
        <v>1052</v>
      </c>
      <c r="AJ1996">
        <v>35.858365999999997</v>
      </c>
      <c r="AK1996" t="s">
        <v>1053</v>
      </c>
      <c r="AL1996">
        <v>-83.976230999999999</v>
      </c>
      <c r="AM1996">
        <v>25</v>
      </c>
      <c r="AN1996">
        <v>1400</v>
      </c>
      <c r="AO1996" t="s">
        <v>118</v>
      </c>
      <c r="AP1996">
        <v>100</v>
      </c>
      <c r="AQ1996">
        <v>43</v>
      </c>
      <c r="AR1996">
        <v>-256</v>
      </c>
      <c r="AZ1996">
        <v>300</v>
      </c>
      <c r="BA1996">
        <v>1</v>
      </c>
      <c r="BB1996" t="str">
        <f t="shared" si="98"/>
        <v xml:space="preserve">N162AM  </v>
      </c>
      <c r="BC1996">
        <v>1</v>
      </c>
      <c r="BE1996">
        <v>0</v>
      </c>
      <c r="BF1996">
        <v>0</v>
      </c>
      <c r="BG1996">
        <v>0</v>
      </c>
      <c r="BH1996">
        <v>1650</v>
      </c>
      <c r="BI1996">
        <v>1</v>
      </c>
      <c r="BJ1996">
        <v>1</v>
      </c>
      <c r="BK1996">
        <v>1</v>
      </c>
      <c r="BL1996">
        <v>0</v>
      </c>
      <c r="BO1996">
        <v>0</v>
      </c>
      <c r="BP1996">
        <v>0</v>
      </c>
      <c r="BW1996" t="str">
        <f>"14:53:13.034"</f>
        <v>14:53:13.034</v>
      </c>
      <c r="CJ1996">
        <v>3</v>
      </c>
      <c r="CK1996">
        <v>2</v>
      </c>
      <c r="CL1996">
        <v>0</v>
      </c>
      <c r="CM1996">
        <v>2</v>
      </c>
      <c r="CN1996">
        <v>0</v>
      </c>
      <c r="CO1996">
        <v>6</v>
      </c>
      <c r="CP1996" t="s">
        <v>119</v>
      </c>
      <c r="CQ1996">
        <v>232</v>
      </c>
      <c r="CR1996">
        <v>2</v>
      </c>
      <c r="CW1996">
        <v>7001765</v>
      </c>
      <c r="CY1996">
        <v>1</v>
      </c>
      <c r="CZ1996">
        <v>0</v>
      </c>
      <c r="DA1996">
        <v>1</v>
      </c>
      <c r="DB1996">
        <v>0</v>
      </c>
      <c r="DC1996">
        <v>0</v>
      </c>
      <c r="DD1996">
        <v>1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3">
      <c r="A1997" t="str">
        <f>"12/16/2021 14:53:13.305"</f>
        <v>12/16/2021 14:53:13.305</v>
      </c>
      <c r="C1997" t="str">
        <f t="shared" si="97"/>
        <v>FFDFD3C0</v>
      </c>
      <c r="D1997" t="s">
        <v>124</v>
      </c>
      <c r="E1997">
        <v>10</v>
      </c>
      <c r="F1997">
        <v>1010</v>
      </c>
      <c r="G1997" t="s">
        <v>130</v>
      </c>
      <c r="J1997" t="s">
        <v>125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>"14:53:13.031"</f>
        <v>14:53:13.031</v>
      </c>
      <c r="T1997" t="str">
        <f>"14:53:12.531"</f>
        <v>14:53:12.531</v>
      </c>
      <c r="U1997" t="str">
        <f t="shared" si="99"/>
        <v>A0F928</v>
      </c>
      <c r="V1997">
        <v>0</v>
      </c>
      <c r="W1997">
        <v>0</v>
      </c>
      <c r="X1997">
        <v>2</v>
      </c>
      <c r="Z1997">
        <v>0</v>
      </c>
      <c r="AA1997">
        <v>9</v>
      </c>
      <c r="AB1997">
        <v>3</v>
      </c>
      <c r="AC1997">
        <v>0</v>
      </c>
      <c r="AD1997">
        <v>10</v>
      </c>
      <c r="AE1997">
        <v>0</v>
      </c>
      <c r="AF1997">
        <v>0</v>
      </c>
      <c r="AG1997">
        <v>2</v>
      </c>
      <c r="AH1997">
        <v>1</v>
      </c>
      <c r="AI1997" t="s">
        <v>1052</v>
      </c>
      <c r="AJ1997">
        <v>35.858365999999997</v>
      </c>
      <c r="AK1997" t="s">
        <v>1053</v>
      </c>
      <c r="AL1997">
        <v>-83.976230999999999</v>
      </c>
      <c r="AM1997">
        <v>25</v>
      </c>
      <c r="AN1997">
        <v>1400</v>
      </c>
      <c r="AO1997" t="s">
        <v>118</v>
      </c>
      <c r="AP1997">
        <v>100</v>
      </c>
      <c r="AQ1997">
        <v>43</v>
      </c>
      <c r="AR1997">
        <v>-256</v>
      </c>
      <c r="AZ1997">
        <v>300</v>
      </c>
      <c r="BA1997">
        <v>1</v>
      </c>
      <c r="BB1997" t="str">
        <f t="shared" si="98"/>
        <v xml:space="preserve">N162AM  </v>
      </c>
      <c r="BC1997">
        <v>1</v>
      </c>
      <c r="BE1997">
        <v>0</v>
      </c>
      <c r="BF1997">
        <v>0</v>
      </c>
      <c r="BG1997">
        <v>0</v>
      </c>
      <c r="BH1997">
        <v>1650</v>
      </c>
      <c r="BI1997">
        <v>1</v>
      </c>
      <c r="BJ1997">
        <v>1</v>
      </c>
      <c r="BK1997">
        <v>1</v>
      </c>
      <c r="BL1997">
        <v>0</v>
      </c>
      <c r="BO1997">
        <v>0</v>
      </c>
      <c r="BP1997">
        <v>0</v>
      </c>
      <c r="BW1997" t="str">
        <f>"14:53:13.034"</f>
        <v>14:53:13.034</v>
      </c>
      <c r="CJ1997">
        <v>2</v>
      </c>
      <c r="CK1997">
        <v>2</v>
      </c>
      <c r="CL1997">
        <v>0</v>
      </c>
      <c r="CM1997">
        <v>2</v>
      </c>
      <c r="CN1997">
        <v>0</v>
      </c>
      <c r="CO1997">
        <v>6</v>
      </c>
      <c r="CP1997" t="s">
        <v>119</v>
      </c>
      <c r="CQ1997">
        <v>232</v>
      </c>
      <c r="CR1997">
        <v>2</v>
      </c>
      <c r="CW1997">
        <v>7001765</v>
      </c>
      <c r="CY1997">
        <v>1</v>
      </c>
      <c r="CZ1997">
        <v>0</v>
      </c>
      <c r="DA1997">
        <v>1</v>
      </c>
      <c r="DB1997">
        <v>0</v>
      </c>
      <c r="DC1997">
        <v>0</v>
      </c>
      <c r="DD1997">
        <v>1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3">
      <c r="A1998" t="str">
        <f>"12/16/2021 14:53:14.352"</f>
        <v>12/16/2021 14:53:14.352</v>
      </c>
      <c r="C1998" t="str">
        <f t="shared" si="97"/>
        <v>FFDFD3C0</v>
      </c>
      <c r="D1998" t="s">
        <v>124</v>
      </c>
      <c r="E1998">
        <v>5</v>
      </c>
      <c r="F1998">
        <v>1005</v>
      </c>
      <c r="G1998" t="s">
        <v>114</v>
      </c>
      <c r="J1998" t="s">
        <v>125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>"14:53:14.102"</f>
        <v>14:53:14.102</v>
      </c>
      <c r="T1998" t="str">
        <f>"14:53:13.102"</f>
        <v>14:53:13.102</v>
      </c>
      <c r="U1998" t="str">
        <f t="shared" si="99"/>
        <v>A0F928</v>
      </c>
      <c r="V1998">
        <v>0</v>
      </c>
      <c r="W1998">
        <v>0</v>
      </c>
      <c r="X1998">
        <v>2</v>
      </c>
      <c r="Z1998">
        <v>0</v>
      </c>
      <c r="AA1998">
        <v>9</v>
      </c>
      <c r="AB1998">
        <v>3</v>
      </c>
      <c r="AC1998">
        <v>0</v>
      </c>
      <c r="AD1998">
        <v>10</v>
      </c>
      <c r="AE1998">
        <v>0</v>
      </c>
      <c r="AF1998">
        <v>3</v>
      </c>
      <c r="AG1998">
        <v>2</v>
      </c>
      <c r="AH1998">
        <v>1</v>
      </c>
      <c r="AI1998" t="s">
        <v>1054</v>
      </c>
      <c r="AJ1998">
        <v>35.858538000000003</v>
      </c>
      <c r="AK1998" t="s">
        <v>1055</v>
      </c>
      <c r="AL1998">
        <v>-83.975587000000004</v>
      </c>
      <c r="AM1998">
        <v>25</v>
      </c>
      <c r="AN1998">
        <v>1400</v>
      </c>
      <c r="AO1998" t="s">
        <v>118</v>
      </c>
      <c r="AP1998">
        <v>101</v>
      </c>
      <c r="AQ1998">
        <v>40</v>
      </c>
      <c r="AR1998">
        <v>-256</v>
      </c>
      <c r="AZ1998">
        <v>300</v>
      </c>
      <c r="BA1998">
        <v>1</v>
      </c>
      <c r="BB1998" t="str">
        <f t="shared" si="98"/>
        <v xml:space="preserve">N162AM  </v>
      </c>
      <c r="BC1998">
        <v>1</v>
      </c>
      <c r="BE1998">
        <v>0</v>
      </c>
      <c r="BF1998">
        <v>0</v>
      </c>
      <c r="BG1998">
        <v>0</v>
      </c>
      <c r="BH1998">
        <v>1650</v>
      </c>
      <c r="BI1998">
        <v>1</v>
      </c>
      <c r="BJ1998">
        <v>1</v>
      </c>
      <c r="BK1998">
        <v>1</v>
      </c>
      <c r="BL1998">
        <v>0</v>
      </c>
      <c r="BO1998">
        <v>0</v>
      </c>
      <c r="BP1998">
        <v>0</v>
      </c>
      <c r="BW1998" t="str">
        <f>"14:53:14.107"</f>
        <v>14:53:14.107</v>
      </c>
      <c r="CJ1998">
        <v>3</v>
      </c>
      <c r="CK1998">
        <v>2</v>
      </c>
      <c r="CL1998">
        <v>0</v>
      </c>
      <c r="CM1998">
        <v>2</v>
      </c>
      <c r="CN1998">
        <v>0</v>
      </c>
      <c r="CO1998">
        <v>6</v>
      </c>
      <c r="CP1998" t="s">
        <v>119</v>
      </c>
      <c r="CQ1998">
        <v>232</v>
      </c>
      <c r="CR1998">
        <v>1</v>
      </c>
      <c r="CW1998">
        <v>15787277</v>
      </c>
      <c r="CY1998">
        <v>1</v>
      </c>
      <c r="CZ1998">
        <v>0</v>
      </c>
      <c r="DA1998">
        <v>0</v>
      </c>
      <c r="DB1998">
        <v>0</v>
      </c>
      <c r="DC1998">
        <v>0</v>
      </c>
      <c r="DD1998">
        <v>1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3">
      <c r="A1999" t="str">
        <f>"12/16/2021 14:53:14.352"</f>
        <v>12/16/2021 14:53:14.352</v>
      </c>
      <c r="C1999" t="str">
        <f t="shared" si="97"/>
        <v>FFDFD3C0</v>
      </c>
      <c r="D1999" t="s">
        <v>113</v>
      </c>
      <c r="E1999">
        <v>8</v>
      </c>
      <c r="H1999">
        <v>176</v>
      </c>
      <c r="I1999" t="s">
        <v>114</v>
      </c>
      <c r="J1999" t="s">
        <v>115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>"14:53:14.102"</f>
        <v>14:53:14.102</v>
      </c>
      <c r="T1999" t="str">
        <f>"14:53:13.102"</f>
        <v>14:53:13.102</v>
      </c>
      <c r="U1999" t="str">
        <f t="shared" si="99"/>
        <v>A0F928</v>
      </c>
      <c r="V1999">
        <v>0</v>
      </c>
      <c r="W1999">
        <v>0</v>
      </c>
      <c r="X1999">
        <v>2</v>
      </c>
      <c r="Z1999">
        <v>0</v>
      </c>
      <c r="AA1999">
        <v>9</v>
      </c>
      <c r="AB1999">
        <v>3</v>
      </c>
      <c r="AC1999">
        <v>0</v>
      </c>
      <c r="AD1999">
        <v>10</v>
      </c>
      <c r="AE1999">
        <v>0</v>
      </c>
      <c r="AF1999">
        <v>3</v>
      </c>
      <c r="AG1999">
        <v>2</v>
      </c>
      <c r="AH1999">
        <v>1</v>
      </c>
      <c r="AI1999" t="s">
        <v>1054</v>
      </c>
      <c r="AJ1999">
        <v>35.858538000000003</v>
      </c>
      <c r="AK1999" t="s">
        <v>1055</v>
      </c>
      <c r="AL1999">
        <v>-83.975587000000004</v>
      </c>
      <c r="AM1999">
        <v>25</v>
      </c>
      <c r="AN1999">
        <v>1400</v>
      </c>
      <c r="AO1999" t="s">
        <v>118</v>
      </c>
      <c r="AP1999">
        <v>101</v>
      </c>
      <c r="AQ1999">
        <v>40</v>
      </c>
      <c r="AR1999">
        <v>-256</v>
      </c>
      <c r="AZ1999">
        <v>300</v>
      </c>
      <c r="BA1999">
        <v>1</v>
      </c>
      <c r="BB1999" t="str">
        <f t="shared" si="98"/>
        <v xml:space="preserve">N162AM  </v>
      </c>
      <c r="BC1999">
        <v>1</v>
      </c>
      <c r="BE1999">
        <v>0</v>
      </c>
      <c r="BF1999">
        <v>0</v>
      </c>
      <c r="BG1999">
        <v>0</v>
      </c>
      <c r="BH1999">
        <v>1650</v>
      </c>
      <c r="BI1999">
        <v>1</v>
      </c>
      <c r="BJ1999">
        <v>1</v>
      </c>
      <c r="BK1999">
        <v>1</v>
      </c>
      <c r="BL1999">
        <v>0</v>
      </c>
      <c r="BO1999">
        <v>0</v>
      </c>
      <c r="BP1999">
        <v>0</v>
      </c>
      <c r="BW1999" t="str">
        <f>"14:53:14.107"</f>
        <v>14:53:14.107</v>
      </c>
      <c r="CJ1999">
        <v>3</v>
      </c>
      <c r="CK1999">
        <v>2</v>
      </c>
      <c r="CL1999">
        <v>0</v>
      </c>
      <c r="CM1999">
        <v>2</v>
      </c>
      <c r="CN1999">
        <v>0</v>
      </c>
      <c r="CO1999">
        <v>6</v>
      </c>
      <c r="CP1999" t="s">
        <v>119</v>
      </c>
      <c r="CQ1999">
        <v>232</v>
      </c>
      <c r="CR1999">
        <v>1</v>
      </c>
      <c r="CW1999">
        <v>15787277</v>
      </c>
      <c r="CY1999">
        <v>1</v>
      </c>
      <c r="CZ1999">
        <v>0</v>
      </c>
      <c r="DA1999">
        <v>1</v>
      </c>
      <c r="DB1999">
        <v>0</v>
      </c>
      <c r="DC1999">
        <v>0</v>
      </c>
      <c r="DD1999">
        <v>1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3">
      <c r="A2000" t="str">
        <f>"12/16/2021 14:53:14.352"</f>
        <v>12/16/2021 14:53:14.352</v>
      </c>
      <c r="C2000" t="str">
        <f t="shared" si="97"/>
        <v>FFDFD3C0</v>
      </c>
      <c r="D2000" t="s">
        <v>133</v>
      </c>
      <c r="E2000">
        <v>44</v>
      </c>
      <c r="H2000">
        <v>131</v>
      </c>
      <c r="I2000" t="s">
        <v>134</v>
      </c>
      <c r="J2000" t="s">
        <v>135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>"14:53:14.102"</f>
        <v>14:53:14.102</v>
      </c>
      <c r="T2000" t="str">
        <f>"14:53:13.102"</f>
        <v>14:53:13.102</v>
      </c>
      <c r="U2000" t="str">
        <f t="shared" si="99"/>
        <v>A0F928</v>
      </c>
      <c r="V2000">
        <v>0</v>
      </c>
      <c r="W2000">
        <v>0</v>
      </c>
      <c r="X2000">
        <v>2</v>
      </c>
      <c r="Z2000">
        <v>0</v>
      </c>
      <c r="AA2000">
        <v>9</v>
      </c>
      <c r="AB2000">
        <v>3</v>
      </c>
      <c r="AC2000">
        <v>0</v>
      </c>
      <c r="AD2000">
        <v>10</v>
      </c>
      <c r="AE2000">
        <v>0</v>
      </c>
      <c r="AF2000">
        <v>3</v>
      </c>
      <c r="AG2000">
        <v>2</v>
      </c>
      <c r="AH2000">
        <v>1</v>
      </c>
      <c r="AI2000" t="s">
        <v>1054</v>
      </c>
      <c r="AJ2000">
        <v>35.858538000000003</v>
      </c>
      <c r="AK2000" t="s">
        <v>1055</v>
      </c>
      <c r="AL2000">
        <v>-83.975587000000004</v>
      </c>
      <c r="AM2000">
        <v>25</v>
      </c>
      <c r="AN2000">
        <v>1400</v>
      </c>
      <c r="AO2000" t="s">
        <v>118</v>
      </c>
      <c r="AP2000">
        <v>101</v>
      </c>
      <c r="AQ2000">
        <v>40</v>
      </c>
      <c r="AR2000">
        <v>-256</v>
      </c>
      <c r="AZ2000">
        <v>300</v>
      </c>
      <c r="BA2000">
        <v>1</v>
      </c>
      <c r="BB2000" t="str">
        <f t="shared" si="98"/>
        <v xml:space="preserve">N162AM  </v>
      </c>
      <c r="BC2000">
        <v>1</v>
      </c>
      <c r="BE2000">
        <v>0</v>
      </c>
      <c r="BF2000">
        <v>0</v>
      </c>
      <c r="BG2000">
        <v>0</v>
      </c>
      <c r="BH2000">
        <v>1650</v>
      </c>
      <c r="BI2000">
        <v>1</v>
      </c>
      <c r="BJ2000">
        <v>1</v>
      </c>
      <c r="BK2000">
        <v>1</v>
      </c>
      <c r="BL2000">
        <v>0</v>
      </c>
      <c r="BO2000">
        <v>0</v>
      </c>
      <c r="BP2000">
        <v>0</v>
      </c>
      <c r="BW2000" t="str">
        <f>"14:53:14.107"</f>
        <v>14:53:14.107</v>
      </c>
      <c r="CJ2000">
        <v>3</v>
      </c>
      <c r="CK2000">
        <v>2</v>
      </c>
      <c r="CL2000">
        <v>0</v>
      </c>
      <c r="CM2000">
        <v>2</v>
      </c>
      <c r="CN2000">
        <v>0</v>
      </c>
      <c r="CO2000">
        <v>6</v>
      </c>
      <c r="CP2000" t="s">
        <v>119</v>
      </c>
      <c r="CQ2000">
        <v>232</v>
      </c>
      <c r="CR2000">
        <v>1</v>
      </c>
      <c r="CW2000">
        <v>15787277</v>
      </c>
      <c r="CY2000">
        <v>1</v>
      </c>
      <c r="CZ2000">
        <v>0</v>
      </c>
      <c r="DA2000">
        <v>1</v>
      </c>
      <c r="DB2000">
        <v>0</v>
      </c>
      <c r="DC2000">
        <v>0</v>
      </c>
      <c r="DD2000">
        <v>1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3">
      <c r="A2001" t="str">
        <f>"12/16/2021 14:53:14.352"</f>
        <v>12/16/2021 14:53:14.352</v>
      </c>
      <c r="C2001" t="str">
        <f t="shared" si="97"/>
        <v>FFDFD3C0</v>
      </c>
      <c r="D2001" t="s">
        <v>124</v>
      </c>
      <c r="E2001">
        <v>10</v>
      </c>
      <c r="F2001">
        <v>1010</v>
      </c>
      <c r="G2001" t="s">
        <v>130</v>
      </c>
      <c r="J2001" t="s">
        <v>125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>"14:53:14.102"</f>
        <v>14:53:14.102</v>
      </c>
      <c r="T2001" t="str">
        <f>"14:53:13.102"</f>
        <v>14:53:13.102</v>
      </c>
      <c r="U2001" t="str">
        <f t="shared" si="99"/>
        <v>A0F928</v>
      </c>
      <c r="V2001">
        <v>0</v>
      </c>
      <c r="W2001">
        <v>0</v>
      </c>
      <c r="X2001">
        <v>2</v>
      </c>
      <c r="Z2001">
        <v>0</v>
      </c>
      <c r="AA2001">
        <v>9</v>
      </c>
      <c r="AB2001">
        <v>3</v>
      </c>
      <c r="AC2001">
        <v>0</v>
      </c>
      <c r="AD2001">
        <v>10</v>
      </c>
      <c r="AE2001">
        <v>0</v>
      </c>
      <c r="AF2001">
        <v>0</v>
      </c>
      <c r="AG2001">
        <v>2</v>
      </c>
      <c r="AH2001">
        <v>1</v>
      </c>
      <c r="AI2001" t="s">
        <v>1054</v>
      </c>
      <c r="AJ2001">
        <v>35.858538000000003</v>
      </c>
      <c r="AK2001" t="s">
        <v>1055</v>
      </c>
      <c r="AL2001">
        <v>-83.975587000000004</v>
      </c>
      <c r="AM2001">
        <v>25</v>
      </c>
      <c r="AN2001">
        <v>1400</v>
      </c>
      <c r="AO2001" t="s">
        <v>118</v>
      </c>
      <c r="AP2001">
        <v>101</v>
      </c>
      <c r="AQ2001">
        <v>40</v>
      </c>
      <c r="AR2001">
        <v>-256</v>
      </c>
      <c r="AZ2001">
        <v>300</v>
      </c>
      <c r="BA2001">
        <v>1</v>
      </c>
      <c r="BB2001" t="str">
        <f t="shared" si="98"/>
        <v xml:space="preserve">N162AM  </v>
      </c>
      <c r="BC2001">
        <v>1</v>
      </c>
      <c r="BE2001">
        <v>0</v>
      </c>
      <c r="BF2001">
        <v>0</v>
      </c>
      <c r="BG2001">
        <v>0</v>
      </c>
      <c r="BH2001">
        <v>1650</v>
      </c>
      <c r="BI2001">
        <v>1</v>
      </c>
      <c r="BJ2001">
        <v>1</v>
      </c>
      <c r="BK2001">
        <v>1</v>
      </c>
      <c r="BL2001">
        <v>0</v>
      </c>
      <c r="BO2001">
        <v>0</v>
      </c>
      <c r="BP2001">
        <v>0</v>
      </c>
      <c r="BW2001" t="str">
        <f>"14:53:14.107"</f>
        <v>14:53:14.107</v>
      </c>
      <c r="CJ2001">
        <v>2</v>
      </c>
      <c r="CK2001">
        <v>2</v>
      </c>
      <c r="CL2001">
        <v>0</v>
      </c>
      <c r="CM2001">
        <v>2</v>
      </c>
      <c r="CN2001">
        <v>0</v>
      </c>
      <c r="CO2001">
        <v>6</v>
      </c>
      <c r="CP2001" t="s">
        <v>119</v>
      </c>
      <c r="CQ2001">
        <v>232</v>
      </c>
      <c r="CR2001">
        <v>1</v>
      </c>
      <c r="CW2001">
        <v>15787277</v>
      </c>
      <c r="CY2001">
        <v>1</v>
      </c>
      <c r="CZ2001">
        <v>0</v>
      </c>
      <c r="DA2001">
        <v>1</v>
      </c>
      <c r="DB2001">
        <v>0</v>
      </c>
      <c r="DC2001">
        <v>0</v>
      </c>
      <c r="DD2001">
        <v>1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3">
      <c r="A2002" t="str">
        <f>"12/16/2021 14:53:15.289"</f>
        <v>12/16/2021 14:53:15.289</v>
      </c>
      <c r="C2002" t="str">
        <f t="shared" si="97"/>
        <v>FFDFD3C0</v>
      </c>
      <c r="D2002" t="s">
        <v>124</v>
      </c>
      <c r="E2002">
        <v>5</v>
      </c>
      <c r="F2002">
        <v>1005</v>
      </c>
      <c r="G2002" t="s">
        <v>114</v>
      </c>
      <c r="J2002" t="s">
        <v>125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>"14:53:15.086"</f>
        <v>14:53:15.086</v>
      </c>
      <c r="T2002" t="str">
        <f>"14:53:14.586"</f>
        <v>14:53:14.586</v>
      </c>
      <c r="U2002" t="str">
        <f t="shared" si="99"/>
        <v>A0F928</v>
      </c>
      <c r="V2002">
        <v>0</v>
      </c>
      <c r="W2002">
        <v>0</v>
      </c>
      <c r="X2002">
        <v>2</v>
      </c>
      <c r="Z2002">
        <v>0</v>
      </c>
      <c r="AA2002">
        <v>9</v>
      </c>
      <c r="AB2002">
        <v>3</v>
      </c>
      <c r="AC2002">
        <v>0</v>
      </c>
      <c r="AD2002">
        <v>10</v>
      </c>
      <c r="AE2002">
        <v>0</v>
      </c>
      <c r="AF2002">
        <v>3</v>
      </c>
      <c r="AG2002">
        <v>2</v>
      </c>
      <c r="AH2002">
        <v>1</v>
      </c>
      <c r="AI2002" t="s">
        <v>1056</v>
      </c>
      <c r="AJ2002">
        <v>35.858666999999997</v>
      </c>
      <c r="AK2002" t="s">
        <v>1057</v>
      </c>
      <c r="AL2002">
        <v>-83.974986000000001</v>
      </c>
      <c r="AM2002">
        <v>25</v>
      </c>
      <c r="AN2002">
        <v>1400</v>
      </c>
      <c r="AO2002" t="s">
        <v>118</v>
      </c>
      <c r="AP2002">
        <v>104</v>
      </c>
      <c r="AQ2002">
        <v>31</v>
      </c>
      <c r="AR2002">
        <v>-256</v>
      </c>
      <c r="AZ2002">
        <v>300</v>
      </c>
      <c r="BA2002">
        <v>1</v>
      </c>
      <c r="BB2002" t="str">
        <f t="shared" si="98"/>
        <v xml:space="preserve">N162AM  </v>
      </c>
      <c r="BC2002">
        <v>1</v>
      </c>
      <c r="BE2002">
        <v>0</v>
      </c>
      <c r="BF2002">
        <v>0</v>
      </c>
      <c r="BG2002">
        <v>0</v>
      </c>
      <c r="BH2002">
        <v>1650</v>
      </c>
      <c r="BI2002">
        <v>1</v>
      </c>
      <c r="BJ2002">
        <v>1</v>
      </c>
      <c r="BK2002">
        <v>1</v>
      </c>
      <c r="BL2002">
        <v>0</v>
      </c>
      <c r="BO2002">
        <v>0</v>
      </c>
      <c r="BP2002">
        <v>0</v>
      </c>
      <c r="BW2002" t="str">
        <f>"14:53:15.093"</f>
        <v>14:53:15.093</v>
      </c>
      <c r="CJ2002">
        <v>3</v>
      </c>
      <c r="CK2002">
        <v>2</v>
      </c>
      <c r="CL2002">
        <v>0</v>
      </c>
      <c r="CM2002">
        <v>2</v>
      </c>
      <c r="CN2002">
        <v>0</v>
      </c>
      <c r="CO2002">
        <v>6</v>
      </c>
      <c r="CP2002" t="s">
        <v>119</v>
      </c>
      <c r="CQ2002">
        <v>232</v>
      </c>
      <c r="CR2002">
        <v>2</v>
      </c>
      <c r="CW2002">
        <v>7005034</v>
      </c>
      <c r="CY2002">
        <v>1</v>
      </c>
      <c r="CZ2002">
        <v>0</v>
      </c>
      <c r="DA2002">
        <v>0</v>
      </c>
      <c r="DB2002">
        <v>0</v>
      </c>
      <c r="DC2002">
        <v>0</v>
      </c>
      <c r="DD2002">
        <v>1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3">
      <c r="A2003" t="str">
        <f>"12/16/2021 14:53:15.305"</f>
        <v>12/16/2021 14:53:15.305</v>
      </c>
      <c r="C2003" t="str">
        <f t="shared" si="97"/>
        <v>FFDFD3C0</v>
      </c>
      <c r="D2003" t="s">
        <v>113</v>
      </c>
      <c r="E2003">
        <v>8</v>
      </c>
      <c r="H2003">
        <v>176</v>
      </c>
      <c r="I2003" t="s">
        <v>114</v>
      </c>
      <c r="J2003" t="s">
        <v>115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>"14:53:15.086"</f>
        <v>14:53:15.086</v>
      </c>
      <c r="T2003" t="str">
        <f>"14:53:14.586"</f>
        <v>14:53:14.586</v>
      </c>
      <c r="U2003" t="str">
        <f t="shared" si="99"/>
        <v>A0F928</v>
      </c>
      <c r="V2003">
        <v>0</v>
      </c>
      <c r="W2003">
        <v>0</v>
      </c>
      <c r="X2003">
        <v>2</v>
      </c>
      <c r="Z2003">
        <v>0</v>
      </c>
      <c r="AA2003">
        <v>9</v>
      </c>
      <c r="AB2003">
        <v>3</v>
      </c>
      <c r="AC2003">
        <v>0</v>
      </c>
      <c r="AD2003">
        <v>10</v>
      </c>
      <c r="AE2003">
        <v>0</v>
      </c>
      <c r="AF2003">
        <v>3</v>
      </c>
      <c r="AG2003">
        <v>2</v>
      </c>
      <c r="AH2003">
        <v>1</v>
      </c>
      <c r="AI2003" t="s">
        <v>1056</v>
      </c>
      <c r="AJ2003">
        <v>35.858666999999997</v>
      </c>
      <c r="AK2003" t="s">
        <v>1057</v>
      </c>
      <c r="AL2003">
        <v>-83.974986000000001</v>
      </c>
      <c r="AM2003">
        <v>25</v>
      </c>
      <c r="AN2003">
        <v>1400</v>
      </c>
      <c r="AO2003" t="s">
        <v>118</v>
      </c>
      <c r="AP2003">
        <v>104</v>
      </c>
      <c r="AQ2003">
        <v>31</v>
      </c>
      <c r="AR2003">
        <v>-256</v>
      </c>
      <c r="AZ2003">
        <v>300</v>
      </c>
      <c r="BA2003">
        <v>1</v>
      </c>
      <c r="BB2003" t="str">
        <f t="shared" si="98"/>
        <v xml:space="preserve">N162AM  </v>
      </c>
      <c r="BC2003">
        <v>1</v>
      </c>
      <c r="BE2003">
        <v>0</v>
      </c>
      <c r="BF2003">
        <v>0</v>
      </c>
      <c r="BG2003">
        <v>0</v>
      </c>
      <c r="BH2003">
        <v>1650</v>
      </c>
      <c r="BI2003">
        <v>1</v>
      </c>
      <c r="BJ2003">
        <v>1</v>
      </c>
      <c r="BK2003">
        <v>1</v>
      </c>
      <c r="BL2003">
        <v>0</v>
      </c>
      <c r="BO2003">
        <v>0</v>
      </c>
      <c r="BP2003">
        <v>0</v>
      </c>
      <c r="BW2003" t="str">
        <f>"14:53:15.093"</f>
        <v>14:53:15.093</v>
      </c>
      <c r="CJ2003">
        <v>3</v>
      </c>
      <c r="CK2003">
        <v>2</v>
      </c>
      <c r="CL2003">
        <v>0</v>
      </c>
      <c r="CM2003">
        <v>2</v>
      </c>
      <c r="CN2003">
        <v>0</v>
      </c>
      <c r="CO2003">
        <v>6</v>
      </c>
      <c r="CP2003" t="s">
        <v>119</v>
      </c>
      <c r="CQ2003">
        <v>232</v>
      </c>
      <c r="CR2003">
        <v>2</v>
      </c>
      <c r="CW2003">
        <v>7005034</v>
      </c>
      <c r="CY2003">
        <v>1</v>
      </c>
      <c r="CZ2003">
        <v>0</v>
      </c>
      <c r="DA2003">
        <v>1</v>
      </c>
      <c r="DB2003">
        <v>0</v>
      </c>
      <c r="DC2003">
        <v>0</v>
      </c>
      <c r="DD2003">
        <v>1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3">
      <c r="A2004" t="str">
        <f>"12/16/2021 14:53:15.305"</f>
        <v>12/16/2021 14:53:15.305</v>
      </c>
      <c r="C2004" t="str">
        <f t="shared" si="97"/>
        <v>FFDFD3C0</v>
      </c>
      <c r="D2004" t="s">
        <v>133</v>
      </c>
      <c r="E2004">
        <v>44</v>
      </c>
      <c r="H2004">
        <v>131</v>
      </c>
      <c r="I2004" t="s">
        <v>134</v>
      </c>
      <c r="J2004" t="s">
        <v>135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>"14:53:15.086"</f>
        <v>14:53:15.086</v>
      </c>
      <c r="T2004" t="str">
        <f>"14:53:14.586"</f>
        <v>14:53:14.586</v>
      </c>
      <c r="U2004" t="str">
        <f t="shared" si="99"/>
        <v>A0F928</v>
      </c>
      <c r="V2004">
        <v>0</v>
      </c>
      <c r="W2004">
        <v>0</v>
      </c>
      <c r="X2004">
        <v>2</v>
      </c>
      <c r="Z2004">
        <v>0</v>
      </c>
      <c r="AA2004">
        <v>9</v>
      </c>
      <c r="AB2004">
        <v>3</v>
      </c>
      <c r="AC2004">
        <v>0</v>
      </c>
      <c r="AD2004">
        <v>10</v>
      </c>
      <c r="AE2004">
        <v>0</v>
      </c>
      <c r="AF2004">
        <v>3</v>
      </c>
      <c r="AG2004">
        <v>2</v>
      </c>
      <c r="AH2004">
        <v>1</v>
      </c>
      <c r="AI2004" t="s">
        <v>1056</v>
      </c>
      <c r="AJ2004">
        <v>35.858666999999997</v>
      </c>
      <c r="AK2004" t="s">
        <v>1057</v>
      </c>
      <c r="AL2004">
        <v>-83.974986000000001</v>
      </c>
      <c r="AM2004">
        <v>25</v>
      </c>
      <c r="AN2004">
        <v>1400</v>
      </c>
      <c r="AO2004" t="s">
        <v>118</v>
      </c>
      <c r="AP2004">
        <v>104</v>
      </c>
      <c r="AQ2004">
        <v>31</v>
      </c>
      <c r="AR2004">
        <v>-256</v>
      </c>
      <c r="AZ2004">
        <v>300</v>
      </c>
      <c r="BA2004">
        <v>1</v>
      </c>
      <c r="BB2004" t="str">
        <f t="shared" si="98"/>
        <v xml:space="preserve">N162AM  </v>
      </c>
      <c r="BC2004">
        <v>1</v>
      </c>
      <c r="BE2004">
        <v>0</v>
      </c>
      <c r="BF2004">
        <v>0</v>
      </c>
      <c r="BG2004">
        <v>0</v>
      </c>
      <c r="BH2004">
        <v>1650</v>
      </c>
      <c r="BI2004">
        <v>1</v>
      </c>
      <c r="BJ2004">
        <v>1</v>
      </c>
      <c r="BK2004">
        <v>1</v>
      </c>
      <c r="BL2004">
        <v>0</v>
      </c>
      <c r="BO2004">
        <v>0</v>
      </c>
      <c r="BP2004">
        <v>0</v>
      </c>
      <c r="BW2004" t="str">
        <f>"14:53:15.093"</f>
        <v>14:53:15.093</v>
      </c>
      <c r="CJ2004">
        <v>3</v>
      </c>
      <c r="CK2004">
        <v>2</v>
      </c>
      <c r="CL2004">
        <v>0</v>
      </c>
      <c r="CM2004">
        <v>2</v>
      </c>
      <c r="CN2004">
        <v>0</v>
      </c>
      <c r="CO2004">
        <v>6</v>
      </c>
      <c r="CP2004" t="s">
        <v>119</v>
      </c>
      <c r="CQ2004">
        <v>232</v>
      </c>
      <c r="CR2004">
        <v>2</v>
      </c>
      <c r="CW2004">
        <v>7005034</v>
      </c>
      <c r="CY2004">
        <v>1</v>
      </c>
      <c r="CZ2004">
        <v>0</v>
      </c>
      <c r="DA2004">
        <v>1</v>
      </c>
      <c r="DB2004">
        <v>0</v>
      </c>
      <c r="DC2004">
        <v>0</v>
      </c>
      <c r="DD2004">
        <v>1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3">
      <c r="A2005" t="str">
        <f>"12/16/2021 14:53:15.336"</f>
        <v>12/16/2021 14:53:15.336</v>
      </c>
      <c r="C2005" t="str">
        <f t="shared" si="97"/>
        <v>FFDFD3C0</v>
      </c>
      <c r="D2005" t="s">
        <v>124</v>
      </c>
      <c r="E2005">
        <v>10</v>
      </c>
      <c r="F2005">
        <v>1010</v>
      </c>
      <c r="G2005" t="s">
        <v>130</v>
      </c>
      <c r="J2005" t="s">
        <v>125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>"14:53:15.086"</f>
        <v>14:53:15.086</v>
      </c>
      <c r="T2005" t="str">
        <f>"14:53:14.586"</f>
        <v>14:53:14.586</v>
      </c>
      <c r="U2005" t="str">
        <f t="shared" si="99"/>
        <v>A0F928</v>
      </c>
      <c r="V2005">
        <v>0</v>
      </c>
      <c r="W2005">
        <v>0</v>
      </c>
      <c r="X2005">
        <v>2</v>
      </c>
      <c r="Z2005">
        <v>0</v>
      </c>
      <c r="AA2005">
        <v>9</v>
      </c>
      <c r="AB2005">
        <v>3</v>
      </c>
      <c r="AC2005">
        <v>0</v>
      </c>
      <c r="AD2005">
        <v>10</v>
      </c>
      <c r="AE2005">
        <v>0</v>
      </c>
      <c r="AF2005">
        <v>0</v>
      </c>
      <c r="AG2005">
        <v>2</v>
      </c>
      <c r="AH2005">
        <v>1</v>
      </c>
      <c r="AI2005" t="s">
        <v>1056</v>
      </c>
      <c r="AJ2005">
        <v>35.858666999999997</v>
      </c>
      <c r="AK2005" t="s">
        <v>1057</v>
      </c>
      <c r="AL2005">
        <v>-83.974986000000001</v>
      </c>
      <c r="AM2005">
        <v>25</v>
      </c>
      <c r="AN2005">
        <v>1400</v>
      </c>
      <c r="AO2005" t="s">
        <v>118</v>
      </c>
      <c r="AP2005">
        <v>104</v>
      </c>
      <c r="AQ2005">
        <v>31</v>
      </c>
      <c r="AR2005">
        <v>-256</v>
      </c>
      <c r="AZ2005">
        <v>300</v>
      </c>
      <c r="BA2005">
        <v>1</v>
      </c>
      <c r="BB2005" t="str">
        <f t="shared" si="98"/>
        <v xml:space="preserve">N162AM  </v>
      </c>
      <c r="BC2005">
        <v>1</v>
      </c>
      <c r="BE2005">
        <v>0</v>
      </c>
      <c r="BF2005">
        <v>0</v>
      </c>
      <c r="BG2005">
        <v>0</v>
      </c>
      <c r="BH2005">
        <v>1650</v>
      </c>
      <c r="BI2005">
        <v>1</v>
      </c>
      <c r="BJ2005">
        <v>1</v>
      </c>
      <c r="BK2005">
        <v>1</v>
      </c>
      <c r="BL2005">
        <v>0</v>
      </c>
      <c r="BO2005">
        <v>0</v>
      </c>
      <c r="BP2005">
        <v>0</v>
      </c>
      <c r="BW2005" t="str">
        <f>"14:53:15.093"</f>
        <v>14:53:15.093</v>
      </c>
      <c r="CJ2005">
        <v>2</v>
      </c>
      <c r="CK2005">
        <v>2</v>
      </c>
      <c r="CL2005">
        <v>0</v>
      </c>
      <c r="CM2005">
        <v>2</v>
      </c>
      <c r="CN2005">
        <v>0</v>
      </c>
      <c r="CO2005">
        <v>6</v>
      </c>
      <c r="CP2005" t="s">
        <v>119</v>
      </c>
      <c r="CQ2005">
        <v>232</v>
      </c>
      <c r="CR2005">
        <v>2</v>
      </c>
      <c r="CW2005">
        <v>7005034</v>
      </c>
      <c r="CY2005">
        <v>1</v>
      </c>
      <c r="CZ2005">
        <v>0</v>
      </c>
      <c r="DA2005">
        <v>1</v>
      </c>
      <c r="DB2005">
        <v>0</v>
      </c>
      <c r="DC2005">
        <v>0</v>
      </c>
      <c r="DD2005">
        <v>1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3">
      <c r="A2006" t="str">
        <f>"12/16/2021 14:53:16.305"</f>
        <v>12/16/2021 14:53:16.305</v>
      </c>
      <c r="C2006" t="str">
        <f t="shared" si="97"/>
        <v>FFDFD3C0</v>
      </c>
      <c r="D2006" t="s">
        <v>133</v>
      </c>
      <c r="E2006">
        <v>44</v>
      </c>
      <c r="H2006">
        <v>131</v>
      </c>
      <c r="I2006" t="s">
        <v>134</v>
      </c>
      <c r="J2006" t="s">
        <v>135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>"14:53:16.102"</f>
        <v>14:53:16.102</v>
      </c>
      <c r="T2006" t="str">
        <f>"14:53:15.602"</f>
        <v>14:53:15.602</v>
      </c>
      <c r="U2006" t="str">
        <f t="shared" si="99"/>
        <v>A0F928</v>
      </c>
      <c r="V2006">
        <v>0</v>
      </c>
      <c r="W2006">
        <v>0</v>
      </c>
      <c r="X2006">
        <v>2</v>
      </c>
      <c r="Z2006">
        <v>0</v>
      </c>
      <c r="AA2006">
        <v>9</v>
      </c>
      <c r="AB2006">
        <v>3</v>
      </c>
      <c r="AC2006">
        <v>0</v>
      </c>
      <c r="AD2006">
        <v>10</v>
      </c>
      <c r="AE2006">
        <v>0</v>
      </c>
      <c r="AF2006">
        <v>3</v>
      </c>
      <c r="AG2006">
        <v>2</v>
      </c>
      <c r="AH2006">
        <v>1</v>
      </c>
      <c r="AI2006" t="s">
        <v>1058</v>
      </c>
      <c r="AJ2006">
        <v>35.858773999999997</v>
      </c>
      <c r="AK2006" t="s">
        <v>1059</v>
      </c>
      <c r="AL2006">
        <v>-83.974341999999993</v>
      </c>
      <c r="AM2006">
        <v>25</v>
      </c>
      <c r="AN2006">
        <v>1400</v>
      </c>
      <c r="AO2006" t="s">
        <v>118</v>
      </c>
      <c r="AP2006">
        <v>104</v>
      </c>
      <c r="AQ2006">
        <v>24</v>
      </c>
      <c r="AR2006">
        <v>-192</v>
      </c>
      <c r="AZ2006">
        <v>300</v>
      </c>
      <c r="BA2006">
        <v>1</v>
      </c>
      <c r="BB2006" t="str">
        <f t="shared" si="98"/>
        <v xml:space="preserve">N162AM  </v>
      </c>
      <c r="BC2006">
        <v>1</v>
      </c>
      <c r="BE2006">
        <v>0</v>
      </c>
      <c r="BF2006">
        <v>0</v>
      </c>
      <c r="BG2006">
        <v>0</v>
      </c>
      <c r="BH2006">
        <v>1650</v>
      </c>
      <c r="BI2006">
        <v>1</v>
      </c>
      <c r="BJ2006">
        <v>1</v>
      </c>
      <c r="BK2006">
        <v>1</v>
      </c>
      <c r="BL2006">
        <v>0</v>
      </c>
      <c r="BO2006">
        <v>0</v>
      </c>
      <c r="BP2006">
        <v>0</v>
      </c>
      <c r="BW2006" t="str">
        <f>"14:53:16.106"</f>
        <v>14:53:16.106</v>
      </c>
      <c r="CJ2006">
        <v>3</v>
      </c>
      <c r="CK2006">
        <v>2</v>
      </c>
      <c r="CL2006">
        <v>0</v>
      </c>
      <c r="CM2006">
        <v>2</v>
      </c>
      <c r="CN2006">
        <v>0</v>
      </c>
      <c r="CO2006">
        <v>6</v>
      </c>
      <c r="CP2006" t="s">
        <v>119</v>
      </c>
      <c r="CQ2006">
        <v>232</v>
      </c>
      <c r="CR2006">
        <v>1</v>
      </c>
      <c r="CW2006">
        <v>15790260</v>
      </c>
      <c r="CY2006">
        <v>1</v>
      </c>
      <c r="CZ2006">
        <v>0</v>
      </c>
      <c r="DA2006">
        <v>0</v>
      </c>
      <c r="DB2006">
        <v>0</v>
      </c>
      <c r="DC2006">
        <v>0</v>
      </c>
      <c r="DD2006">
        <v>1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3">
      <c r="A2007" t="str">
        <f>"12/16/2021 14:53:16.305"</f>
        <v>12/16/2021 14:53:16.305</v>
      </c>
      <c r="C2007" t="str">
        <f t="shared" si="97"/>
        <v>FFDFD3C0</v>
      </c>
      <c r="D2007" t="s">
        <v>124</v>
      </c>
      <c r="E2007">
        <v>10</v>
      </c>
      <c r="F2007">
        <v>1010</v>
      </c>
      <c r="G2007" t="s">
        <v>130</v>
      </c>
      <c r="J2007" t="s">
        <v>125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>"14:53:16.102"</f>
        <v>14:53:16.102</v>
      </c>
      <c r="T2007" t="str">
        <f>"14:53:15.602"</f>
        <v>14:53:15.602</v>
      </c>
      <c r="U2007" t="str">
        <f t="shared" si="99"/>
        <v>A0F928</v>
      </c>
      <c r="V2007">
        <v>0</v>
      </c>
      <c r="W2007">
        <v>0</v>
      </c>
      <c r="X2007">
        <v>2</v>
      </c>
      <c r="Z2007">
        <v>0</v>
      </c>
      <c r="AA2007">
        <v>9</v>
      </c>
      <c r="AB2007">
        <v>3</v>
      </c>
      <c r="AC2007">
        <v>0</v>
      </c>
      <c r="AD2007">
        <v>10</v>
      </c>
      <c r="AE2007">
        <v>0</v>
      </c>
      <c r="AF2007">
        <v>0</v>
      </c>
      <c r="AG2007">
        <v>2</v>
      </c>
      <c r="AH2007">
        <v>1</v>
      </c>
      <c r="AI2007" t="s">
        <v>1058</v>
      </c>
      <c r="AJ2007">
        <v>35.858773999999997</v>
      </c>
      <c r="AK2007" t="s">
        <v>1059</v>
      </c>
      <c r="AL2007">
        <v>-83.974341999999993</v>
      </c>
      <c r="AM2007">
        <v>25</v>
      </c>
      <c r="AN2007">
        <v>1400</v>
      </c>
      <c r="AO2007" t="s">
        <v>118</v>
      </c>
      <c r="AP2007">
        <v>104</v>
      </c>
      <c r="AQ2007">
        <v>24</v>
      </c>
      <c r="AR2007">
        <v>-192</v>
      </c>
      <c r="AZ2007">
        <v>300</v>
      </c>
      <c r="BA2007">
        <v>1</v>
      </c>
      <c r="BB2007" t="str">
        <f t="shared" si="98"/>
        <v xml:space="preserve">N162AM  </v>
      </c>
      <c r="BC2007">
        <v>1</v>
      </c>
      <c r="BE2007">
        <v>0</v>
      </c>
      <c r="BF2007">
        <v>0</v>
      </c>
      <c r="BG2007">
        <v>0</v>
      </c>
      <c r="BH2007">
        <v>1650</v>
      </c>
      <c r="BI2007">
        <v>1</v>
      </c>
      <c r="BJ2007">
        <v>1</v>
      </c>
      <c r="BK2007">
        <v>1</v>
      </c>
      <c r="BL2007">
        <v>0</v>
      </c>
      <c r="BO2007">
        <v>0</v>
      </c>
      <c r="BP2007">
        <v>0</v>
      </c>
      <c r="BW2007" t="str">
        <f>"14:53:16.106"</f>
        <v>14:53:16.106</v>
      </c>
      <c r="CJ2007">
        <v>2</v>
      </c>
      <c r="CK2007">
        <v>2</v>
      </c>
      <c r="CL2007">
        <v>0</v>
      </c>
      <c r="CM2007">
        <v>2</v>
      </c>
      <c r="CN2007">
        <v>0</v>
      </c>
      <c r="CO2007">
        <v>6</v>
      </c>
      <c r="CP2007" t="s">
        <v>119</v>
      </c>
      <c r="CQ2007">
        <v>232</v>
      </c>
      <c r="CR2007">
        <v>1</v>
      </c>
      <c r="CW2007">
        <v>15790260</v>
      </c>
      <c r="CY2007">
        <v>1</v>
      </c>
      <c r="CZ2007">
        <v>0</v>
      </c>
      <c r="DA2007">
        <v>1</v>
      </c>
      <c r="DB2007">
        <v>0</v>
      </c>
      <c r="DC2007">
        <v>0</v>
      </c>
      <c r="DD2007">
        <v>1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3">
      <c r="A2008" t="str">
        <f>"12/16/2021 14:53:16.305"</f>
        <v>12/16/2021 14:53:16.305</v>
      </c>
      <c r="C2008" t="str">
        <f t="shared" si="97"/>
        <v>FFDFD3C0</v>
      </c>
      <c r="D2008" t="s">
        <v>124</v>
      </c>
      <c r="E2008">
        <v>5</v>
      </c>
      <c r="F2008">
        <v>1005</v>
      </c>
      <c r="G2008" t="s">
        <v>114</v>
      </c>
      <c r="J2008" t="s">
        <v>125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>"14:53:16.102"</f>
        <v>14:53:16.102</v>
      </c>
      <c r="T2008" t="str">
        <f>"14:53:15.602"</f>
        <v>14:53:15.602</v>
      </c>
      <c r="U2008" t="str">
        <f t="shared" si="99"/>
        <v>A0F928</v>
      </c>
      <c r="V2008">
        <v>0</v>
      </c>
      <c r="W2008">
        <v>0</v>
      </c>
      <c r="X2008">
        <v>2</v>
      </c>
      <c r="Z2008">
        <v>0</v>
      </c>
      <c r="AA2008">
        <v>9</v>
      </c>
      <c r="AB2008">
        <v>3</v>
      </c>
      <c r="AC2008">
        <v>0</v>
      </c>
      <c r="AD2008">
        <v>10</v>
      </c>
      <c r="AE2008">
        <v>0</v>
      </c>
      <c r="AF2008">
        <v>3</v>
      </c>
      <c r="AG2008">
        <v>2</v>
      </c>
      <c r="AH2008">
        <v>1</v>
      </c>
      <c r="AI2008" t="s">
        <v>1058</v>
      </c>
      <c r="AJ2008">
        <v>35.858773999999997</v>
      </c>
      <c r="AK2008" t="s">
        <v>1059</v>
      </c>
      <c r="AL2008">
        <v>-83.974341999999993</v>
      </c>
      <c r="AM2008">
        <v>25</v>
      </c>
      <c r="AN2008">
        <v>1400</v>
      </c>
      <c r="AO2008" t="s">
        <v>118</v>
      </c>
      <c r="AP2008">
        <v>104</v>
      </c>
      <c r="AQ2008">
        <v>24</v>
      </c>
      <c r="AR2008">
        <v>-192</v>
      </c>
      <c r="AZ2008">
        <v>300</v>
      </c>
      <c r="BA2008">
        <v>1</v>
      </c>
      <c r="BB2008" t="str">
        <f t="shared" si="98"/>
        <v xml:space="preserve">N162AM  </v>
      </c>
      <c r="BC2008">
        <v>1</v>
      </c>
      <c r="BE2008">
        <v>0</v>
      </c>
      <c r="BF2008">
        <v>0</v>
      </c>
      <c r="BG2008">
        <v>0</v>
      </c>
      <c r="BH2008">
        <v>1650</v>
      </c>
      <c r="BI2008">
        <v>1</v>
      </c>
      <c r="BJ2008">
        <v>1</v>
      </c>
      <c r="BK2008">
        <v>1</v>
      </c>
      <c r="BL2008">
        <v>0</v>
      </c>
      <c r="BO2008">
        <v>0</v>
      </c>
      <c r="BP2008">
        <v>0</v>
      </c>
      <c r="BW2008" t="str">
        <f>"14:53:16.106"</f>
        <v>14:53:16.106</v>
      </c>
      <c r="CJ2008">
        <v>3</v>
      </c>
      <c r="CK2008">
        <v>2</v>
      </c>
      <c r="CL2008">
        <v>0</v>
      </c>
      <c r="CM2008">
        <v>2</v>
      </c>
      <c r="CN2008">
        <v>0</v>
      </c>
      <c r="CO2008">
        <v>6</v>
      </c>
      <c r="CP2008" t="s">
        <v>119</v>
      </c>
      <c r="CQ2008">
        <v>232</v>
      </c>
      <c r="CR2008">
        <v>1</v>
      </c>
      <c r="CW2008">
        <v>15790260</v>
      </c>
      <c r="CY2008">
        <v>1</v>
      </c>
      <c r="CZ2008">
        <v>0</v>
      </c>
      <c r="DA2008">
        <v>1</v>
      </c>
      <c r="DB2008">
        <v>0</v>
      </c>
      <c r="DC2008">
        <v>0</v>
      </c>
      <c r="DD2008">
        <v>1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3">
      <c r="A2009" t="str">
        <f>"12/16/2021 14:53:16.320"</f>
        <v>12/16/2021 14:53:16.320</v>
      </c>
      <c r="C2009" t="str">
        <f t="shared" si="97"/>
        <v>FFDFD3C0</v>
      </c>
      <c r="D2009" t="s">
        <v>113</v>
      </c>
      <c r="E2009">
        <v>8</v>
      </c>
      <c r="H2009">
        <v>176</v>
      </c>
      <c r="I2009" t="s">
        <v>114</v>
      </c>
      <c r="J2009" t="s">
        <v>115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>"14:53:16.102"</f>
        <v>14:53:16.102</v>
      </c>
      <c r="T2009" t="str">
        <f>"14:53:15.602"</f>
        <v>14:53:15.602</v>
      </c>
      <c r="U2009" t="str">
        <f t="shared" si="99"/>
        <v>A0F928</v>
      </c>
      <c r="V2009">
        <v>0</v>
      </c>
      <c r="W2009">
        <v>0</v>
      </c>
      <c r="X2009">
        <v>2</v>
      </c>
      <c r="Z2009">
        <v>0</v>
      </c>
      <c r="AA2009">
        <v>9</v>
      </c>
      <c r="AB2009">
        <v>3</v>
      </c>
      <c r="AC2009">
        <v>0</v>
      </c>
      <c r="AD2009">
        <v>10</v>
      </c>
      <c r="AE2009">
        <v>0</v>
      </c>
      <c r="AF2009">
        <v>3</v>
      </c>
      <c r="AG2009">
        <v>2</v>
      </c>
      <c r="AH2009">
        <v>1</v>
      </c>
      <c r="AI2009" t="s">
        <v>1058</v>
      </c>
      <c r="AJ2009">
        <v>35.858773999999997</v>
      </c>
      <c r="AK2009" t="s">
        <v>1059</v>
      </c>
      <c r="AL2009">
        <v>-83.974341999999993</v>
      </c>
      <c r="AM2009">
        <v>25</v>
      </c>
      <c r="AN2009">
        <v>1400</v>
      </c>
      <c r="AO2009" t="s">
        <v>118</v>
      </c>
      <c r="AP2009">
        <v>104</v>
      </c>
      <c r="AQ2009">
        <v>24</v>
      </c>
      <c r="AR2009">
        <v>-192</v>
      </c>
      <c r="AZ2009">
        <v>300</v>
      </c>
      <c r="BA2009">
        <v>1</v>
      </c>
      <c r="BB2009" t="str">
        <f t="shared" si="98"/>
        <v xml:space="preserve">N162AM  </v>
      </c>
      <c r="BC2009">
        <v>1</v>
      </c>
      <c r="BE2009">
        <v>0</v>
      </c>
      <c r="BF2009">
        <v>0</v>
      </c>
      <c r="BG2009">
        <v>0</v>
      </c>
      <c r="BH2009">
        <v>1650</v>
      </c>
      <c r="BI2009">
        <v>1</v>
      </c>
      <c r="BJ2009">
        <v>1</v>
      </c>
      <c r="BK2009">
        <v>1</v>
      </c>
      <c r="BL2009">
        <v>0</v>
      </c>
      <c r="BO2009">
        <v>0</v>
      </c>
      <c r="BP2009">
        <v>0</v>
      </c>
      <c r="BW2009" t="str">
        <f>"14:53:16.106"</f>
        <v>14:53:16.106</v>
      </c>
      <c r="CJ2009">
        <v>3</v>
      </c>
      <c r="CK2009">
        <v>2</v>
      </c>
      <c r="CL2009">
        <v>0</v>
      </c>
      <c r="CM2009">
        <v>2</v>
      </c>
      <c r="CN2009">
        <v>0</v>
      </c>
      <c r="CO2009">
        <v>6</v>
      </c>
      <c r="CP2009" t="s">
        <v>119</v>
      </c>
      <c r="CQ2009">
        <v>232</v>
      </c>
      <c r="CR2009">
        <v>1</v>
      </c>
      <c r="CW2009">
        <v>15790260</v>
      </c>
      <c r="CY2009">
        <v>1</v>
      </c>
      <c r="CZ2009">
        <v>0</v>
      </c>
      <c r="DA2009">
        <v>1</v>
      </c>
      <c r="DB2009">
        <v>0</v>
      </c>
      <c r="DC2009">
        <v>0</v>
      </c>
      <c r="DD2009">
        <v>1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3">
      <c r="A2010" t="str">
        <f>"12/16/2021 14:53:17.336"</f>
        <v>12/16/2021 14:53:17.336</v>
      </c>
      <c r="C2010" t="str">
        <f t="shared" si="97"/>
        <v>FFDFD3C0</v>
      </c>
      <c r="D2010" t="s">
        <v>124</v>
      </c>
      <c r="E2010">
        <v>10</v>
      </c>
      <c r="F2010">
        <v>1010</v>
      </c>
      <c r="G2010" t="s">
        <v>130</v>
      </c>
      <c r="J2010" t="s">
        <v>125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>"14:53:17.125"</f>
        <v>14:53:17.125</v>
      </c>
      <c r="T2010" t="str">
        <f>"14:53:16.625"</f>
        <v>14:53:16.625</v>
      </c>
      <c r="U2010" t="str">
        <f t="shared" si="99"/>
        <v>A0F928</v>
      </c>
      <c r="V2010">
        <v>0</v>
      </c>
      <c r="W2010">
        <v>0</v>
      </c>
      <c r="X2010">
        <v>2</v>
      </c>
      <c r="Z2010">
        <v>0</v>
      </c>
      <c r="AA2010">
        <v>9</v>
      </c>
      <c r="AB2010">
        <v>3</v>
      </c>
      <c r="AC2010">
        <v>0</v>
      </c>
      <c r="AD2010">
        <v>10</v>
      </c>
      <c r="AE2010">
        <v>0</v>
      </c>
      <c r="AF2010">
        <v>0</v>
      </c>
      <c r="AG2010">
        <v>2</v>
      </c>
      <c r="AH2010">
        <v>1</v>
      </c>
      <c r="AI2010" t="s">
        <v>1060</v>
      </c>
      <c r="AJ2010">
        <v>35.858817000000002</v>
      </c>
      <c r="AK2010" t="s">
        <v>1061</v>
      </c>
      <c r="AL2010">
        <v>-83.973763000000005</v>
      </c>
      <c r="AM2010">
        <v>25</v>
      </c>
      <c r="AN2010">
        <v>1400</v>
      </c>
      <c r="AO2010" t="s">
        <v>118</v>
      </c>
      <c r="AP2010">
        <v>105</v>
      </c>
      <c r="AQ2010">
        <v>17</v>
      </c>
      <c r="AR2010">
        <v>-192</v>
      </c>
      <c r="AZ2010">
        <v>300</v>
      </c>
      <c r="BA2010">
        <v>1</v>
      </c>
      <c r="BB2010" t="str">
        <f t="shared" si="98"/>
        <v xml:space="preserve">N162AM  </v>
      </c>
      <c r="BC2010">
        <v>1</v>
      </c>
      <c r="BE2010">
        <v>0</v>
      </c>
      <c r="BF2010">
        <v>0</v>
      </c>
      <c r="BG2010">
        <v>0</v>
      </c>
      <c r="BH2010">
        <v>1650</v>
      </c>
      <c r="BI2010">
        <v>1</v>
      </c>
      <c r="BJ2010">
        <v>1</v>
      </c>
      <c r="BK2010">
        <v>1</v>
      </c>
      <c r="BL2010">
        <v>0</v>
      </c>
      <c r="BO2010">
        <v>0</v>
      </c>
      <c r="BP2010">
        <v>0</v>
      </c>
      <c r="BW2010" t="str">
        <f>"14:53:17.128"</f>
        <v>14:53:17.128</v>
      </c>
      <c r="CJ2010">
        <v>2</v>
      </c>
      <c r="CK2010">
        <v>2</v>
      </c>
      <c r="CL2010">
        <v>0</v>
      </c>
      <c r="CM2010">
        <v>2</v>
      </c>
      <c r="CN2010">
        <v>0</v>
      </c>
      <c r="CO2010">
        <v>6</v>
      </c>
      <c r="CP2010" t="s">
        <v>119</v>
      </c>
      <c r="CQ2010">
        <v>232</v>
      </c>
      <c r="CR2010">
        <v>2</v>
      </c>
      <c r="CW2010">
        <v>7008183</v>
      </c>
      <c r="CY2010">
        <v>1</v>
      </c>
      <c r="CZ2010">
        <v>0</v>
      </c>
      <c r="DA2010">
        <v>0</v>
      </c>
      <c r="DB2010">
        <v>0</v>
      </c>
      <c r="DC2010">
        <v>0</v>
      </c>
      <c r="DD2010">
        <v>1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3">
      <c r="A2011" t="str">
        <f>"12/16/2021 14:53:17.367"</f>
        <v>12/16/2021 14:53:17.367</v>
      </c>
      <c r="C2011" t="str">
        <f t="shared" si="97"/>
        <v>FFDFD3C0</v>
      </c>
      <c r="D2011" t="s">
        <v>124</v>
      </c>
      <c r="E2011">
        <v>5</v>
      </c>
      <c r="F2011">
        <v>1005</v>
      </c>
      <c r="G2011" t="s">
        <v>114</v>
      </c>
      <c r="J2011" t="s">
        <v>125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>"14:53:17.125"</f>
        <v>14:53:17.125</v>
      </c>
      <c r="T2011" t="str">
        <f>"14:53:16.625"</f>
        <v>14:53:16.625</v>
      </c>
      <c r="U2011" t="str">
        <f t="shared" si="99"/>
        <v>A0F928</v>
      </c>
      <c r="V2011">
        <v>0</v>
      </c>
      <c r="W2011">
        <v>0</v>
      </c>
      <c r="X2011">
        <v>2</v>
      </c>
      <c r="Z2011">
        <v>0</v>
      </c>
      <c r="AA2011">
        <v>9</v>
      </c>
      <c r="AB2011">
        <v>3</v>
      </c>
      <c r="AC2011">
        <v>0</v>
      </c>
      <c r="AD2011">
        <v>10</v>
      </c>
      <c r="AE2011">
        <v>0</v>
      </c>
      <c r="AF2011">
        <v>3</v>
      </c>
      <c r="AG2011">
        <v>2</v>
      </c>
      <c r="AH2011">
        <v>1</v>
      </c>
      <c r="AI2011" t="s">
        <v>1060</v>
      </c>
      <c r="AJ2011">
        <v>35.858817000000002</v>
      </c>
      <c r="AK2011" t="s">
        <v>1061</v>
      </c>
      <c r="AL2011">
        <v>-83.973763000000005</v>
      </c>
      <c r="AM2011">
        <v>25</v>
      </c>
      <c r="AN2011">
        <v>1400</v>
      </c>
      <c r="AO2011" t="s">
        <v>118</v>
      </c>
      <c r="AP2011">
        <v>105</v>
      </c>
      <c r="AQ2011">
        <v>17</v>
      </c>
      <c r="AR2011">
        <v>-192</v>
      </c>
      <c r="AZ2011">
        <v>300</v>
      </c>
      <c r="BA2011">
        <v>1</v>
      </c>
      <c r="BB2011" t="str">
        <f t="shared" si="98"/>
        <v xml:space="preserve">N162AM  </v>
      </c>
      <c r="BC2011">
        <v>1</v>
      </c>
      <c r="BE2011">
        <v>0</v>
      </c>
      <c r="BF2011">
        <v>0</v>
      </c>
      <c r="BG2011">
        <v>0</v>
      </c>
      <c r="BH2011">
        <v>1650</v>
      </c>
      <c r="BI2011">
        <v>1</v>
      </c>
      <c r="BJ2011">
        <v>1</v>
      </c>
      <c r="BK2011">
        <v>1</v>
      </c>
      <c r="BL2011">
        <v>0</v>
      </c>
      <c r="BO2011">
        <v>0</v>
      </c>
      <c r="BP2011">
        <v>0</v>
      </c>
      <c r="BW2011" t="str">
        <f>"14:53:17.128"</f>
        <v>14:53:17.128</v>
      </c>
      <c r="CJ2011">
        <v>3</v>
      </c>
      <c r="CK2011">
        <v>2</v>
      </c>
      <c r="CL2011">
        <v>0</v>
      </c>
      <c r="CM2011">
        <v>2</v>
      </c>
      <c r="CN2011">
        <v>0</v>
      </c>
      <c r="CO2011">
        <v>6</v>
      </c>
      <c r="CP2011" t="s">
        <v>119</v>
      </c>
      <c r="CQ2011">
        <v>232</v>
      </c>
      <c r="CR2011">
        <v>2</v>
      </c>
      <c r="CW2011">
        <v>7008183</v>
      </c>
      <c r="CY2011">
        <v>1</v>
      </c>
      <c r="CZ2011">
        <v>0</v>
      </c>
      <c r="DA2011">
        <v>1</v>
      </c>
      <c r="DB2011">
        <v>0</v>
      </c>
      <c r="DC2011">
        <v>0</v>
      </c>
      <c r="DD2011">
        <v>1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3">
      <c r="A2012" t="str">
        <f>"12/16/2021 14:53:17.399"</f>
        <v>12/16/2021 14:53:17.399</v>
      </c>
      <c r="C2012" t="str">
        <f t="shared" si="97"/>
        <v>FFDFD3C0</v>
      </c>
      <c r="D2012" t="s">
        <v>113</v>
      </c>
      <c r="E2012">
        <v>8</v>
      </c>
      <c r="H2012">
        <v>176</v>
      </c>
      <c r="I2012" t="s">
        <v>114</v>
      </c>
      <c r="J2012" t="s">
        <v>115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>"14:53:17.125"</f>
        <v>14:53:17.125</v>
      </c>
      <c r="T2012" t="str">
        <f>"14:53:16.625"</f>
        <v>14:53:16.625</v>
      </c>
      <c r="U2012" t="str">
        <f t="shared" si="99"/>
        <v>A0F928</v>
      </c>
      <c r="V2012">
        <v>0</v>
      </c>
      <c r="W2012">
        <v>0</v>
      </c>
      <c r="X2012">
        <v>2</v>
      </c>
      <c r="Z2012">
        <v>0</v>
      </c>
      <c r="AA2012">
        <v>9</v>
      </c>
      <c r="AB2012">
        <v>3</v>
      </c>
      <c r="AC2012">
        <v>0</v>
      </c>
      <c r="AD2012">
        <v>10</v>
      </c>
      <c r="AE2012">
        <v>0</v>
      </c>
      <c r="AF2012">
        <v>3</v>
      </c>
      <c r="AG2012">
        <v>2</v>
      </c>
      <c r="AH2012">
        <v>1</v>
      </c>
      <c r="AI2012" t="s">
        <v>1060</v>
      </c>
      <c r="AJ2012">
        <v>35.858817000000002</v>
      </c>
      <c r="AK2012" t="s">
        <v>1061</v>
      </c>
      <c r="AL2012">
        <v>-83.973763000000005</v>
      </c>
      <c r="AM2012">
        <v>25</v>
      </c>
      <c r="AN2012">
        <v>1400</v>
      </c>
      <c r="AO2012" t="s">
        <v>118</v>
      </c>
      <c r="AP2012">
        <v>105</v>
      </c>
      <c r="AQ2012">
        <v>17</v>
      </c>
      <c r="AR2012">
        <v>-192</v>
      </c>
      <c r="AZ2012">
        <v>300</v>
      </c>
      <c r="BA2012">
        <v>1</v>
      </c>
      <c r="BB2012" t="str">
        <f t="shared" si="98"/>
        <v xml:space="preserve">N162AM  </v>
      </c>
      <c r="BC2012">
        <v>1</v>
      </c>
      <c r="BE2012">
        <v>0</v>
      </c>
      <c r="BF2012">
        <v>0</v>
      </c>
      <c r="BG2012">
        <v>0</v>
      </c>
      <c r="BH2012">
        <v>1650</v>
      </c>
      <c r="BI2012">
        <v>1</v>
      </c>
      <c r="BJ2012">
        <v>1</v>
      </c>
      <c r="BK2012">
        <v>1</v>
      </c>
      <c r="BL2012">
        <v>0</v>
      </c>
      <c r="BO2012">
        <v>0</v>
      </c>
      <c r="BP2012">
        <v>0</v>
      </c>
      <c r="BW2012" t="str">
        <f>"14:53:17.128"</f>
        <v>14:53:17.128</v>
      </c>
      <c r="CJ2012">
        <v>3</v>
      </c>
      <c r="CK2012">
        <v>2</v>
      </c>
      <c r="CL2012">
        <v>0</v>
      </c>
      <c r="CM2012">
        <v>2</v>
      </c>
      <c r="CN2012">
        <v>0</v>
      </c>
      <c r="CO2012">
        <v>6</v>
      </c>
      <c r="CP2012" t="s">
        <v>119</v>
      </c>
      <c r="CQ2012">
        <v>232</v>
      </c>
      <c r="CR2012">
        <v>2</v>
      </c>
      <c r="CW2012">
        <v>7008183</v>
      </c>
      <c r="CY2012">
        <v>1</v>
      </c>
      <c r="CZ2012">
        <v>0</v>
      </c>
      <c r="DA2012">
        <v>1</v>
      </c>
      <c r="DB2012">
        <v>0</v>
      </c>
      <c r="DC2012">
        <v>0</v>
      </c>
      <c r="DD2012">
        <v>1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3">
      <c r="A2013" t="str">
        <f>"12/16/2021 14:53:17.399"</f>
        <v>12/16/2021 14:53:17.399</v>
      </c>
      <c r="C2013" t="str">
        <f t="shared" si="97"/>
        <v>FFDFD3C0</v>
      </c>
      <c r="D2013" t="s">
        <v>133</v>
      </c>
      <c r="E2013">
        <v>44</v>
      </c>
      <c r="H2013">
        <v>131</v>
      </c>
      <c r="I2013" t="s">
        <v>134</v>
      </c>
      <c r="J2013" t="s">
        <v>135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>"14:53:17.125"</f>
        <v>14:53:17.125</v>
      </c>
      <c r="T2013" t="str">
        <f>"14:53:16.625"</f>
        <v>14:53:16.625</v>
      </c>
      <c r="U2013" t="str">
        <f t="shared" si="99"/>
        <v>A0F928</v>
      </c>
      <c r="V2013">
        <v>0</v>
      </c>
      <c r="W2013">
        <v>0</v>
      </c>
      <c r="X2013">
        <v>2</v>
      </c>
      <c r="Z2013">
        <v>0</v>
      </c>
      <c r="AA2013">
        <v>9</v>
      </c>
      <c r="AB2013">
        <v>3</v>
      </c>
      <c r="AC2013">
        <v>0</v>
      </c>
      <c r="AD2013">
        <v>10</v>
      </c>
      <c r="AE2013">
        <v>0</v>
      </c>
      <c r="AF2013">
        <v>3</v>
      </c>
      <c r="AG2013">
        <v>2</v>
      </c>
      <c r="AH2013">
        <v>1</v>
      </c>
      <c r="AI2013" t="s">
        <v>1060</v>
      </c>
      <c r="AJ2013">
        <v>35.858817000000002</v>
      </c>
      <c r="AK2013" t="s">
        <v>1061</v>
      </c>
      <c r="AL2013">
        <v>-83.973763000000005</v>
      </c>
      <c r="AM2013">
        <v>25</v>
      </c>
      <c r="AN2013">
        <v>1400</v>
      </c>
      <c r="AO2013" t="s">
        <v>118</v>
      </c>
      <c r="AP2013">
        <v>105</v>
      </c>
      <c r="AQ2013">
        <v>17</v>
      </c>
      <c r="AR2013">
        <v>-192</v>
      </c>
      <c r="AZ2013">
        <v>300</v>
      </c>
      <c r="BA2013">
        <v>1</v>
      </c>
      <c r="BB2013" t="str">
        <f t="shared" si="98"/>
        <v xml:space="preserve">N162AM  </v>
      </c>
      <c r="BC2013">
        <v>1</v>
      </c>
      <c r="BE2013">
        <v>0</v>
      </c>
      <c r="BF2013">
        <v>0</v>
      </c>
      <c r="BG2013">
        <v>0</v>
      </c>
      <c r="BH2013">
        <v>1650</v>
      </c>
      <c r="BI2013">
        <v>1</v>
      </c>
      <c r="BJ2013">
        <v>1</v>
      </c>
      <c r="BK2013">
        <v>1</v>
      </c>
      <c r="BL2013">
        <v>0</v>
      </c>
      <c r="BO2013">
        <v>0</v>
      </c>
      <c r="BP2013">
        <v>0</v>
      </c>
      <c r="BW2013" t="str">
        <f>"14:53:17.128"</f>
        <v>14:53:17.128</v>
      </c>
      <c r="CJ2013">
        <v>3</v>
      </c>
      <c r="CK2013">
        <v>2</v>
      </c>
      <c r="CL2013">
        <v>0</v>
      </c>
      <c r="CM2013">
        <v>2</v>
      </c>
      <c r="CN2013">
        <v>0</v>
      </c>
      <c r="CO2013">
        <v>6</v>
      </c>
      <c r="CP2013" t="s">
        <v>119</v>
      </c>
      <c r="CQ2013">
        <v>232</v>
      </c>
      <c r="CR2013">
        <v>2</v>
      </c>
      <c r="CW2013">
        <v>7008183</v>
      </c>
      <c r="CY2013">
        <v>1</v>
      </c>
      <c r="CZ2013">
        <v>0</v>
      </c>
      <c r="DA2013">
        <v>1</v>
      </c>
      <c r="DB2013">
        <v>0</v>
      </c>
      <c r="DC2013">
        <v>0</v>
      </c>
      <c r="DD2013">
        <v>1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3">
      <c r="A2014" t="str">
        <f>"12/16/2021 14:53:18.367"</f>
        <v>12/16/2021 14:53:18.367</v>
      </c>
      <c r="C2014" t="str">
        <f t="shared" si="97"/>
        <v>FFDFD3C0</v>
      </c>
      <c r="D2014" t="s">
        <v>124</v>
      </c>
      <c r="E2014">
        <v>5</v>
      </c>
      <c r="F2014">
        <v>1005</v>
      </c>
      <c r="G2014" t="s">
        <v>114</v>
      </c>
      <c r="J2014" t="s">
        <v>125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>"14:53:18.109"</f>
        <v>14:53:18.109</v>
      </c>
      <c r="T2014" t="str">
        <f>"14:53:17.709"</f>
        <v>14:53:17.709</v>
      </c>
      <c r="U2014" t="str">
        <f t="shared" si="99"/>
        <v>A0F928</v>
      </c>
      <c r="V2014">
        <v>0</v>
      </c>
      <c r="W2014">
        <v>0</v>
      </c>
      <c r="X2014">
        <v>2</v>
      </c>
      <c r="Z2014">
        <v>0</v>
      </c>
      <c r="AA2014">
        <v>9</v>
      </c>
      <c r="AB2014">
        <v>3</v>
      </c>
      <c r="AC2014">
        <v>0</v>
      </c>
      <c r="AD2014">
        <v>10</v>
      </c>
      <c r="AE2014">
        <v>0</v>
      </c>
      <c r="AF2014">
        <v>3</v>
      </c>
      <c r="AG2014">
        <v>2</v>
      </c>
      <c r="AH2014">
        <v>1</v>
      </c>
      <c r="AI2014" t="s">
        <v>1062</v>
      </c>
      <c r="AJ2014">
        <v>35.85886</v>
      </c>
      <c r="AK2014" t="s">
        <v>1063</v>
      </c>
      <c r="AL2014">
        <v>-83.973184000000003</v>
      </c>
      <c r="AM2014">
        <v>25</v>
      </c>
      <c r="AN2014">
        <v>1400</v>
      </c>
      <c r="AO2014" t="s">
        <v>118</v>
      </c>
      <c r="AP2014">
        <v>105</v>
      </c>
      <c r="AQ2014">
        <v>8</v>
      </c>
      <c r="AR2014">
        <v>-192</v>
      </c>
      <c r="AZ2014">
        <v>300</v>
      </c>
      <c r="BA2014">
        <v>1</v>
      </c>
      <c r="BB2014" t="str">
        <f t="shared" si="98"/>
        <v xml:space="preserve">N162AM  </v>
      </c>
      <c r="BC2014">
        <v>1</v>
      </c>
      <c r="BE2014">
        <v>0</v>
      </c>
      <c r="BF2014">
        <v>0</v>
      </c>
      <c r="BG2014">
        <v>0</v>
      </c>
      <c r="BH2014">
        <v>1650</v>
      </c>
      <c r="BI2014">
        <v>1</v>
      </c>
      <c r="BJ2014">
        <v>1</v>
      </c>
      <c r="BK2014">
        <v>1</v>
      </c>
      <c r="BL2014">
        <v>0</v>
      </c>
      <c r="BO2014">
        <v>0</v>
      </c>
      <c r="BP2014">
        <v>0</v>
      </c>
      <c r="BW2014" t="str">
        <f>"14:53:18.113"</f>
        <v>14:53:18.113</v>
      </c>
      <c r="CJ2014">
        <v>3</v>
      </c>
      <c r="CK2014">
        <v>2</v>
      </c>
      <c r="CL2014">
        <v>0</v>
      </c>
      <c r="CM2014">
        <v>2</v>
      </c>
      <c r="CN2014">
        <v>0</v>
      </c>
      <c r="CO2014">
        <v>6</v>
      </c>
      <c r="CP2014" t="s">
        <v>119</v>
      </c>
      <c r="CQ2014">
        <v>232</v>
      </c>
      <c r="CR2014">
        <v>2</v>
      </c>
      <c r="CW2014">
        <v>7009801</v>
      </c>
      <c r="CY2014">
        <v>1</v>
      </c>
      <c r="CZ2014">
        <v>0</v>
      </c>
      <c r="DA2014">
        <v>0</v>
      </c>
      <c r="DB2014">
        <v>0</v>
      </c>
      <c r="DC2014">
        <v>0</v>
      </c>
      <c r="DD2014">
        <v>1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3">
      <c r="A2015" t="str">
        <f>"12/16/2021 14:53:18.383"</f>
        <v>12/16/2021 14:53:18.383</v>
      </c>
      <c r="C2015" t="str">
        <f t="shared" si="97"/>
        <v>FFDFD3C0</v>
      </c>
      <c r="D2015" t="s">
        <v>113</v>
      </c>
      <c r="E2015">
        <v>8</v>
      </c>
      <c r="H2015">
        <v>176</v>
      </c>
      <c r="I2015" t="s">
        <v>114</v>
      </c>
      <c r="J2015" t="s">
        <v>115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>"14:53:18.109"</f>
        <v>14:53:18.109</v>
      </c>
      <c r="T2015" t="str">
        <f>"14:53:17.709"</f>
        <v>14:53:17.709</v>
      </c>
      <c r="U2015" t="str">
        <f t="shared" si="99"/>
        <v>A0F928</v>
      </c>
      <c r="V2015">
        <v>0</v>
      </c>
      <c r="W2015">
        <v>0</v>
      </c>
      <c r="X2015">
        <v>2</v>
      </c>
      <c r="Z2015">
        <v>0</v>
      </c>
      <c r="AA2015">
        <v>9</v>
      </c>
      <c r="AB2015">
        <v>3</v>
      </c>
      <c r="AC2015">
        <v>0</v>
      </c>
      <c r="AD2015">
        <v>10</v>
      </c>
      <c r="AE2015">
        <v>0</v>
      </c>
      <c r="AF2015">
        <v>3</v>
      </c>
      <c r="AG2015">
        <v>2</v>
      </c>
      <c r="AH2015">
        <v>1</v>
      </c>
      <c r="AI2015" t="s">
        <v>1062</v>
      </c>
      <c r="AJ2015">
        <v>35.85886</v>
      </c>
      <c r="AK2015" t="s">
        <v>1063</v>
      </c>
      <c r="AL2015">
        <v>-83.973184000000003</v>
      </c>
      <c r="AM2015">
        <v>25</v>
      </c>
      <c r="AN2015">
        <v>1400</v>
      </c>
      <c r="AO2015" t="s">
        <v>118</v>
      </c>
      <c r="AP2015">
        <v>105</v>
      </c>
      <c r="AQ2015">
        <v>8</v>
      </c>
      <c r="AR2015">
        <v>-192</v>
      </c>
      <c r="AZ2015">
        <v>300</v>
      </c>
      <c r="BA2015">
        <v>1</v>
      </c>
      <c r="BB2015" t="str">
        <f t="shared" si="98"/>
        <v xml:space="preserve">N162AM  </v>
      </c>
      <c r="BC2015">
        <v>1</v>
      </c>
      <c r="BE2015">
        <v>0</v>
      </c>
      <c r="BF2015">
        <v>0</v>
      </c>
      <c r="BG2015">
        <v>0</v>
      </c>
      <c r="BH2015">
        <v>1650</v>
      </c>
      <c r="BI2015">
        <v>1</v>
      </c>
      <c r="BJ2015">
        <v>1</v>
      </c>
      <c r="BK2015">
        <v>1</v>
      </c>
      <c r="BL2015">
        <v>0</v>
      </c>
      <c r="BO2015">
        <v>0</v>
      </c>
      <c r="BP2015">
        <v>0</v>
      </c>
      <c r="BW2015" t="str">
        <f>"14:53:18.113"</f>
        <v>14:53:18.113</v>
      </c>
      <c r="CJ2015">
        <v>3</v>
      </c>
      <c r="CK2015">
        <v>2</v>
      </c>
      <c r="CL2015">
        <v>0</v>
      </c>
      <c r="CM2015">
        <v>2</v>
      </c>
      <c r="CN2015">
        <v>0</v>
      </c>
      <c r="CO2015">
        <v>6</v>
      </c>
      <c r="CP2015" t="s">
        <v>119</v>
      </c>
      <c r="CQ2015">
        <v>232</v>
      </c>
      <c r="CR2015">
        <v>2</v>
      </c>
      <c r="CW2015">
        <v>7009801</v>
      </c>
      <c r="CY2015">
        <v>1</v>
      </c>
      <c r="CZ2015">
        <v>0</v>
      </c>
      <c r="DA2015">
        <v>1</v>
      </c>
      <c r="DB2015">
        <v>0</v>
      </c>
      <c r="DC2015">
        <v>0</v>
      </c>
      <c r="DD2015">
        <v>1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3">
      <c r="A2016" t="str">
        <f>"12/16/2021 14:53:18.383"</f>
        <v>12/16/2021 14:53:18.383</v>
      </c>
      <c r="C2016" t="str">
        <f t="shared" si="97"/>
        <v>FFDFD3C0</v>
      </c>
      <c r="D2016" t="s">
        <v>133</v>
      </c>
      <c r="E2016">
        <v>44</v>
      </c>
      <c r="H2016">
        <v>131</v>
      </c>
      <c r="I2016" t="s">
        <v>134</v>
      </c>
      <c r="J2016" t="s">
        <v>135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>"14:53:18.109"</f>
        <v>14:53:18.109</v>
      </c>
      <c r="T2016" t="str">
        <f>"14:53:17.709"</f>
        <v>14:53:17.709</v>
      </c>
      <c r="U2016" t="str">
        <f t="shared" si="99"/>
        <v>A0F928</v>
      </c>
      <c r="V2016">
        <v>0</v>
      </c>
      <c r="W2016">
        <v>0</v>
      </c>
      <c r="X2016">
        <v>2</v>
      </c>
      <c r="Z2016">
        <v>0</v>
      </c>
      <c r="AA2016">
        <v>9</v>
      </c>
      <c r="AB2016">
        <v>3</v>
      </c>
      <c r="AC2016">
        <v>0</v>
      </c>
      <c r="AD2016">
        <v>10</v>
      </c>
      <c r="AE2016">
        <v>0</v>
      </c>
      <c r="AF2016">
        <v>3</v>
      </c>
      <c r="AG2016">
        <v>2</v>
      </c>
      <c r="AH2016">
        <v>1</v>
      </c>
      <c r="AI2016" t="s">
        <v>1062</v>
      </c>
      <c r="AJ2016">
        <v>35.85886</v>
      </c>
      <c r="AK2016" t="s">
        <v>1063</v>
      </c>
      <c r="AL2016">
        <v>-83.973184000000003</v>
      </c>
      <c r="AM2016">
        <v>25</v>
      </c>
      <c r="AN2016">
        <v>1400</v>
      </c>
      <c r="AO2016" t="s">
        <v>118</v>
      </c>
      <c r="AP2016">
        <v>105</v>
      </c>
      <c r="AQ2016">
        <v>8</v>
      </c>
      <c r="AR2016">
        <v>-192</v>
      </c>
      <c r="AZ2016">
        <v>300</v>
      </c>
      <c r="BA2016">
        <v>1</v>
      </c>
      <c r="BB2016" t="str">
        <f t="shared" si="98"/>
        <v xml:space="preserve">N162AM  </v>
      </c>
      <c r="BC2016">
        <v>1</v>
      </c>
      <c r="BE2016">
        <v>0</v>
      </c>
      <c r="BF2016">
        <v>0</v>
      </c>
      <c r="BG2016">
        <v>0</v>
      </c>
      <c r="BH2016">
        <v>1650</v>
      </c>
      <c r="BI2016">
        <v>1</v>
      </c>
      <c r="BJ2016">
        <v>1</v>
      </c>
      <c r="BK2016">
        <v>1</v>
      </c>
      <c r="BL2016">
        <v>0</v>
      </c>
      <c r="BO2016">
        <v>0</v>
      </c>
      <c r="BP2016">
        <v>0</v>
      </c>
      <c r="BW2016" t="str">
        <f>"14:53:18.113"</f>
        <v>14:53:18.113</v>
      </c>
      <c r="CJ2016">
        <v>3</v>
      </c>
      <c r="CK2016">
        <v>2</v>
      </c>
      <c r="CL2016">
        <v>0</v>
      </c>
      <c r="CM2016">
        <v>2</v>
      </c>
      <c r="CN2016">
        <v>0</v>
      </c>
      <c r="CO2016">
        <v>6</v>
      </c>
      <c r="CP2016" t="s">
        <v>119</v>
      </c>
      <c r="CQ2016">
        <v>232</v>
      </c>
      <c r="CR2016">
        <v>2</v>
      </c>
      <c r="CW2016">
        <v>7009801</v>
      </c>
      <c r="CY2016">
        <v>1</v>
      </c>
      <c r="CZ2016">
        <v>0</v>
      </c>
      <c r="DA2016">
        <v>1</v>
      </c>
      <c r="DB2016">
        <v>0</v>
      </c>
      <c r="DC2016">
        <v>0</v>
      </c>
      <c r="DD2016">
        <v>1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3">
      <c r="A2017" t="str">
        <f>"12/16/2021 14:53:18.383"</f>
        <v>12/16/2021 14:53:18.383</v>
      </c>
      <c r="C2017" t="str">
        <f t="shared" si="97"/>
        <v>FFDFD3C0</v>
      </c>
      <c r="D2017" t="s">
        <v>124</v>
      </c>
      <c r="E2017">
        <v>10</v>
      </c>
      <c r="F2017">
        <v>1010</v>
      </c>
      <c r="G2017" t="s">
        <v>130</v>
      </c>
      <c r="J2017" t="s">
        <v>125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>"14:53:18.109"</f>
        <v>14:53:18.109</v>
      </c>
      <c r="T2017" t="str">
        <f>"14:53:17.709"</f>
        <v>14:53:17.709</v>
      </c>
      <c r="U2017" t="str">
        <f t="shared" si="99"/>
        <v>A0F928</v>
      </c>
      <c r="V2017">
        <v>0</v>
      </c>
      <c r="W2017">
        <v>0</v>
      </c>
      <c r="X2017">
        <v>2</v>
      </c>
      <c r="Z2017">
        <v>0</v>
      </c>
      <c r="AA2017">
        <v>9</v>
      </c>
      <c r="AB2017">
        <v>3</v>
      </c>
      <c r="AC2017">
        <v>0</v>
      </c>
      <c r="AD2017">
        <v>10</v>
      </c>
      <c r="AE2017">
        <v>0</v>
      </c>
      <c r="AF2017">
        <v>0</v>
      </c>
      <c r="AG2017">
        <v>2</v>
      </c>
      <c r="AH2017">
        <v>1</v>
      </c>
      <c r="AI2017" t="s">
        <v>1062</v>
      </c>
      <c r="AJ2017">
        <v>35.85886</v>
      </c>
      <c r="AK2017" t="s">
        <v>1063</v>
      </c>
      <c r="AL2017">
        <v>-83.973184000000003</v>
      </c>
      <c r="AM2017">
        <v>25</v>
      </c>
      <c r="AN2017">
        <v>1400</v>
      </c>
      <c r="AO2017" t="s">
        <v>118</v>
      </c>
      <c r="AP2017">
        <v>105</v>
      </c>
      <c r="AQ2017">
        <v>8</v>
      </c>
      <c r="AR2017">
        <v>-192</v>
      </c>
      <c r="AZ2017">
        <v>300</v>
      </c>
      <c r="BA2017">
        <v>1</v>
      </c>
      <c r="BB2017" t="str">
        <f t="shared" si="98"/>
        <v xml:space="preserve">N162AM  </v>
      </c>
      <c r="BC2017">
        <v>1</v>
      </c>
      <c r="BE2017">
        <v>0</v>
      </c>
      <c r="BF2017">
        <v>0</v>
      </c>
      <c r="BG2017">
        <v>0</v>
      </c>
      <c r="BH2017">
        <v>1650</v>
      </c>
      <c r="BI2017">
        <v>1</v>
      </c>
      <c r="BJ2017">
        <v>1</v>
      </c>
      <c r="BK2017">
        <v>1</v>
      </c>
      <c r="BL2017">
        <v>0</v>
      </c>
      <c r="BO2017">
        <v>0</v>
      </c>
      <c r="BP2017">
        <v>0</v>
      </c>
      <c r="BW2017" t="str">
        <f>"14:53:18.113"</f>
        <v>14:53:18.113</v>
      </c>
      <c r="CJ2017">
        <v>2</v>
      </c>
      <c r="CK2017">
        <v>2</v>
      </c>
      <c r="CL2017">
        <v>0</v>
      </c>
      <c r="CM2017">
        <v>2</v>
      </c>
      <c r="CN2017">
        <v>0</v>
      </c>
      <c r="CO2017">
        <v>6</v>
      </c>
      <c r="CP2017" t="s">
        <v>119</v>
      </c>
      <c r="CQ2017">
        <v>232</v>
      </c>
      <c r="CR2017">
        <v>2</v>
      </c>
      <c r="CW2017">
        <v>7009801</v>
      </c>
      <c r="CY2017">
        <v>1</v>
      </c>
      <c r="CZ2017">
        <v>0</v>
      </c>
      <c r="DA2017">
        <v>1</v>
      </c>
      <c r="DB2017">
        <v>0</v>
      </c>
      <c r="DC2017">
        <v>0</v>
      </c>
      <c r="DD2017">
        <v>1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3">
      <c r="A2018" t="str">
        <f>"12/16/2021 14:53:19.352"</f>
        <v>12/16/2021 14:53:19.352</v>
      </c>
      <c r="C2018" t="str">
        <f t="shared" si="97"/>
        <v>FFDFD3C0</v>
      </c>
      <c r="D2018" t="s">
        <v>113</v>
      </c>
      <c r="E2018">
        <v>8</v>
      </c>
      <c r="H2018">
        <v>176</v>
      </c>
      <c r="I2018" t="s">
        <v>114</v>
      </c>
      <c r="J2018" t="s">
        <v>115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>"14:53:19.133"</f>
        <v>14:53:19.133</v>
      </c>
      <c r="T2018" t="str">
        <f>"14:53:18.733"</f>
        <v>14:53:18.733</v>
      </c>
      <c r="U2018" t="str">
        <f t="shared" si="99"/>
        <v>A0F928</v>
      </c>
      <c r="V2018">
        <v>0</v>
      </c>
      <c r="W2018">
        <v>0</v>
      </c>
      <c r="X2018">
        <v>2</v>
      </c>
      <c r="Z2018">
        <v>0</v>
      </c>
      <c r="AA2018">
        <v>9</v>
      </c>
      <c r="AB2018">
        <v>3</v>
      </c>
      <c r="AC2018">
        <v>0</v>
      </c>
      <c r="AD2018">
        <v>10</v>
      </c>
      <c r="AE2018">
        <v>0</v>
      </c>
      <c r="AF2018">
        <v>3</v>
      </c>
      <c r="AG2018">
        <v>2</v>
      </c>
      <c r="AH2018">
        <v>1</v>
      </c>
      <c r="AI2018" t="s">
        <v>1062</v>
      </c>
      <c r="AJ2018">
        <v>35.85886</v>
      </c>
      <c r="AK2018" t="s">
        <v>1064</v>
      </c>
      <c r="AL2018">
        <v>-83.972539999999995</v>
      </c>
      <c r="AM2018">
        <v>25</v>
      </c>
      <c r="AN2018">
        <v>1375</v>
      </c>
      <c r="AO2018" t="s">
        <v>118</v>
      </c>
      <c r="AP2018">
        <v>105</v>
      </c>
      <c r="AQ2018">
        <v>2</v>
      </c>
      <c r="AR2018">
        <v>-320</v>
      </c>
      <c r="AZ2018">
        <v>300</v>
      </c>
      <c r="BA2018">
        <v>1</v>
      </c>
      <c r="BB2018" t="str">
        <f t="shared" si="98"/>
        <v xml:space="preserve">N162AM  </v>
      </c>
      <c r="BC2018">
        <v>1</v>
      </c>
      <c r="BE2018">
        <v>0</v>
      </c>
      <c r="BF2018">
        <v>0</v>
      </c>
      <c r="BG2018">
        <v>0</v>
      </c>
      <c r="BH2018">
        <v>1650</v>
      </c>
      <c r="BI2018">
        <v>1</v>
      </c>
      <c r="BJ2018">
        <v>1</v>
      </c>
      <c r="BK2018">
        <v>1</v>
      </c>
      <c r="BL2018">
        <v>0</v>
      </c>
      <c r="BO2018">
        <v>0</v>
      </c>
      <c r="BP2018">
        <v>0</v>
      </c>
      <c r="BW2018" t="str">
        <f>"14:53:19.137"</f>
        <v>14:53:19.137</v>
      </c>
      <c r="CJ2018">
        <v>3</v>
      </c>
      <c r="CK2018">
        <v>2</v>
      </c>
      <c r="CL2018">
        <v>0</v>
      </c>
      <c r="CM2018">
        <v>2</v>
      </c>
      <c r="CN2018">
        <v>0</v>
      </c>
      <c r="CO2018">
        <v>6</v>
      </c>
      <c r="CP2018" t="s">
        <v>119</v>
      </c>
      <c r="CQ2018">
        <v>232</v>
      </c>
      <c r="CR2018">
        <v>1</v>
      </c>
      <c r="CW2018">
        <v>15794966</v>
      </c>
      <c r="CY2018">
        <v>1</v>
      </c>
      <c r="CZ2018">
        <v>0</v>
      </c>
      <c r="DA2018">
        <v>0</v>
      </c>
      <c r="DB2018">
        <v>0</v>
      </c>
      <c r="DC2018">
        <v>0</v>
      </c>
      <c r="DD2018">
        <v>1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3">
      <c r="A2019" t="str">
        <f>"12/16/2021 14:53:19.352"</f>
        <v>12/16/2021 14:53:19.352</v>
      </c>
      <c r="C2019" t="str">
        <f t="shared" si="97"/>
        <v>FFDFD3C0</v>
      </c>
      <c r="D2019" t="s">
        <v>124</v>
      </c>
      <c r="E2019">
        <v>10</v>
      </c>
      <c r="F2019">
        <v>1010</v>
      </c>
      <c r="G2019" t="s">
        <v>130</v>
      </c>
      <c r="J2019" t="s">
        <v>125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>"14:53:19.133"</f>
        <v>14:53:19.133</v>
      </c>
      <c r="T2019" t="str">
        <f>"14:53:18.733"</f>
        <v>14:53:18.733</v>
      </c>
      <c r="U2019" t="str">
        <f t="shared" si="99"/>
        <v>A0F928</v>
      </c>
      <c r="V2019">
        <v>0</v>
      </c>
      <c r="W2019">
        <v>0</v>
      </c>
      <c r="X2019">
        <v>2</v>
      </c>
      <c r="Z2019">
        <v>0</v>
      </c>
      <c r="AA2019">
        <v>9</v>
      </c>
      <c r="AB2019">
        <v>3</v>
      </c>
      <c r="AC2019">
        <v>0</v>
      </c>
      <c r="AD2019">
        <v>10</v>
      </c>
      <c r="AE2019">
        <v>0</v>
      </c>
      <c r="AF2019">
        <v>0</v>
      </c>
      <c r="AG2019">
        <v>2</v>
      </c>
      <c r="AH2019">
        <v>1</v>
      </c>
      <c r="AI2019" t="s">
        <v>1062</v>
      </c>
      <c r="AJ2019">
        <v>35.85886</v>
      </c>
      <c r="AK2019" t="s">
        <v>1064</v>
      </c>
      <c r="AL2019">
        <v>-83.972539999999995</v>
      </c>
      <c r="AM2019">
        <v>25</v>
      </c>
      <c r="AN2019">
        <v>1375</v>
      </c>
      <c r="AO2019" t="s">
        <v>118</v>
      </c>
      <c r="AP2019">
        <v>105</v>
      </c>
      <c r="AQ2019">
        <v>2</v>
      </c>
      <c r="AR2019">
        <v>-320</v>
      </c>
      <c r="AZ2019">
        <v>300</v>
      </c>
      <c r="BA2019">
        <v>1</v>
      </c>
      <c r="BB2019" t="str">
        <f t="shared" si="98"/>
        <v xml:space="preserve">N162AM  </v>
      </c>
      <c r="BC2019">
        <v>1</v>
      </c>
      <c r="BE2019">
        <v>0</v>
      </c>
      <c r="BF2019">
        <v>0</v>
      </c>
      <c r="BG2019">
        <v>0</v>
      </c>
      <c r="BH2019">
        <v>1650</v>
      </c>
      <c r="BI2019">
        <v>1</v>
      </c>
      <c r="BJ2019">
        <v>1</v>
      </c>
      <c r="BK2019">
        <v>1</v>
      </c>
      <c r="BL2019">
        <v>0</v>
      </c>
      <c r="BO2019">
        <v>0</v>
      </c>
      <c r="BP2019">
        <v>0</v>
      </c>
      <c r="BW2019" t="str">
        <f>"14:53:19.137"</f>
        <v>14:53:19.137</v>
      </c>
      <c r="CJ2019">
        <v>2</v>
      </c>
      <c r="CK2019">
        <v>2</v>
      </c>
      <c r="CL2019">
        <v>0</v>
      </c>
      <c r="CM2019">
        <v>2</v>
      </c>
      <c r="CN2019">
        <v>0</v>
      </c>
      <c r="CO2019">
        <v>6</v>
      </c>
      <c r="CP2019" t="s">
        <v>119</v>
      </c>
      <c r="CQ2019">
        <v>232</v>
      </c>
      <c r="CR2019">
        <v>1</v>
      </c>
      <c r="CW2019">
        <v>15794966</v>
      </c>
      <c r="CY2019">
        <v>1</v>
      </c>
      <c r="CZ2019">
        <v>0</v>
      </c>
      <c r="DA2019">
        <v>1</v>
      </c>
      <c r="DB2019">
        <v>0</v>
      </c>
      <c r="DC2019">
        <v>0</v>
      </c>
      <c r="DD2019">
        <v>1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3">
      <c r="A2020" t="str">
        <f>"12/16/2021 14:53:19.352"</f>
        <v>12/16/2021 14:53:19.352</v>
      </c>
      <c r="C2020" t="str">
        <f t="shared" si="97"/>
        <v>FFDFD3C0</v>
      </c>
      <c r="D2020" t="s">
        <v>133</v>
      </c>
      <c r="E2020">
        <v>44</v>
      </c>
      <c r="H2020">
        <v>131</v>
      </c>
      <c r="I2020" t="s">
        <v>134</v>
      </c>
      <c r="J2020" t="s">
        <v>135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>"14:53:19.133"</f>
        <v>14:53:19.133</v>
      </c>
      <c r="T2020" t="str">
        <f>"14:53:18.733"</f>
        <v>14:53:18.733</v>
      </c>
      <c r="U2020" t="str">
        <f t="shared" si="99"/>
        <v>A0F928</v>
      </c>
      <c r="V2020">
        <v>0</v>
      </c>
      <c r="W2020">
        <v>0</v>
      </c>
      <c r="X2020">
        <v>2</v>
      </c>
      <c r="Z2020">
        <v>0</v>
      </c>
      <c r="AA2020">
        <v>9</v>
      </c>
      <c r="AB2020">
        <v>3</v>
      </c>
      <c r="AC2020">
        <v>0</v>
      </c>
      <c r="AD2020">
        <v>10</v>
      </c>
      <c r="AE2020">
        <v>0</v>
      </c>
      <c r="AF2020">
        <v>3</v>
      </c>
      <c r="AG2020">
        <v>2</v>
      </c>
      <c r="AH2020">
        <v>1</v>
      </c>
      <c r="AI2020" t="s">
        <v>1062</v>
      </c>
      <c r="AJ2020">
        <v>35.85886</v>
      </c>
      <c r="AK2020" t="s">
        <v>1064</v>
      </c>
      <c r="AL2020">
        <v>-83.972539999999995</v>
      </c>
      <c r="AM2020">
        <v>25</v>
      </c>
      <c r="AN2020">
        <v>1375</v>
      </c>
      <c r="AO2020" t="s">
        <v>118</v>
      </c>
      <c r="AP2020">
        <v>105</v>
      </c>
      <c r="AQ2020">
        <v>2</v>
      </c>
      <c r="AR2020">
        <v>-320</v>
      </c>
      <c r="AZ2020">
        <v>300</v>
      </c>
      <c r="BA2020">
        <v>1</v>
      </c>
      <c r="BB2020" t="str">
        <f t="shared" si="98"/>
        <v xml:space="preserve">N162AM  </v>
      </c>
      <c r="BC2020">
        <v>1</v>
      </c>
      <c r="BE2020">
        <v>0</v>
      </c>
      <c r="BF2020">
        <v>0</v>
      </c>
      <c r="BG2020">
        <v>0</v>
      </c>
      <c r="BH2020">
        <v>1650</v>
      </c>
      <c r="BI2020">
        <v>1</v>
      </c>
      <c r="BJ2020">
        <v>1</v>
      </c>
      <c r="BK2020">
        <v>1</v>
      </c>
      <c r="BL2020">
        <v>0</v>
      </c>
      <c r="BO2020">
        <v>0</v>
      </c>
      <c r="BP2020">
        <v>0</v>
      </c>
      <c r="BW2020" t="str">
        <f>"14:53:19.137"</f>
        <v>14:53:19.137</v>
      </c>
      <c r="CJ2020">
        <v>3</v>
      </c>
      <c r="CK2020">
        <v>2</v>
      </c>
      <c r="CL2020">
        <v>0</v>
      </c>
      <c r="CM2020">
        <v>2</v>
      </c>
      <c r="CN2020">
        <v>0</v>
      </c>
      <c r="CO2020">
        <v>6</v>
      </c>
      <c r="CP2020" t="s">
        <v>119</v>
      </c>
      <c r="CQ2020">
        <v>232</v>
      </c>
      <c r="CR2020">
        <v>1</v>
      </c>
      <c r="CW2020">
        <v>15794966</v>
      </c>
      <c r="CY2020">
        <v>1</v>
      </c>
      <c r="CZ2020">
        <v>0</v>
      </c>
      <c r="DA2020">
        <v>1</v>
      </c>
      <c r="DB2020">
        <v>0</v>
      </c>
      <c r="DC2020">
        <v>0</v>
      </c>
      <c r="DD2020">
        <v>1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3">
      <c r="A2021" t="str">
        <f>"12/16/2021 14:53:19.367"</f>
        <v>12/16/2021 14:53:19.367</v>
      </c>
      <c r="C2021" t="str">
        <f t="shared" si="97"/>
        <v>FFDFD3C0</v>
      </c>
      <c r="D2021" t="s">
        <v>124</v>
      </c>
      <c r="E2021">
        <v>5</v>
      </c>
      <c r="F2021">
        <v>1005</v>
      </c>
      <c r="G2021" t="s">
        <v>114</v>
      </c>
      <c r="J2021" t="s">
        <v>125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>"14:53:19.133"</f>
        <v>14:53:19.133</v>
      </c>
      <c r="T2021" t="str">
        <f>"14:53:18.733"</f>
        <v>14:53:18.733</v>
      </c>
      <c r="U2021" t="str">
        <f t="shared" si="99"/>
        <v>A0F928</v>
      </c>
      <c r="V2021">
        <v>0</v>
      </c>
      <c r="W2021">
        <v>0</v>
      </c>
      <c r="X2021">
        <v>2</v>
      </c>
      <c r="Z2021">
        <v>0</v>
      </c>
      <c r="AA2021">
        <v>9</v>
      </c>
      <c r="AB2021">
        <v>3</v>
      </c>
      <c r="AC2021">
        <v>0</v>
      </c>
      <c r="AD2021">
        <v>10</v>
      </c>
      <c r="AE2021">
        <v>0</v>
      </c>
      <c r="AF2021">
        <v>3</v>
      </c>
      <c r="AG2021">
        <v>2</v>
      </c>
      <c r="AH2021">
        <v>1</v>
      </c>
      <c r="AI2021" t="s">
        <v>1062</v>
      </c>
      <c r="AJ2021">
        <v>35.85886</v>
      </c>
      <c r="AK2021" t="s">
        <v>1064</v>
      </c>
      <c r="AL2021">
        <v>-83.972539999999995</v>
      </c>
      <c r="AM2021">
        <v>25</v>
      </c>
      <c r="AN2021">
        <v>1375</v>
      </c>
      <c r="AO2021" t="s">
        <v>118</v>
      </c>
      <c r="AP2021">
        <v>105</v>
      </c>
      <c r="AQ2021">
        <v>2</v>
      </c>
      <c r="AR2021">
        <v>-320</v>
      </c>
      <c r="AZ2021">
        <v>300</v>
      </c>
      <c r="BA2021">
        <v>1</v>
      </c>
      <c r="BB2021" t="str">
        <f t="shared" si="98"/>
        <v xml:space="preserve">N162AM  </v>
      </c>
      <c r="BC2021">
        <v>1</v>
      </c>
      <c r="BE2021">
        <v>0</v>
      </c>
      <c r="BF2021">
        <v>0</v>
      </c>
      <c r="BG2021">
        <v>0</v>
      </c>
      <c r="BH2021">
        <v>1650</v>
      </c>
      <c r="BI2021">
        <v>1</v>
      </c>
      <c r="BJ2021">
        <v>1</v>
      </c>
      <c r="BK2021">
        <v>1</v>
      </c>
      <c r="BL2021">
        <v>0</v>
      </c>
      <c r="BO2021">
        <v>0</v>
      </c>
      <c r="BP2021">
        <v>0</v>
      </c>
      <c r="BW2021" t="str">
        <f>"14:53:19.137"</f>
        <v>14:53:19.137</v>
      </c>
      <c r="CJ2021">
        <v>3</v>
      </c>
      <c r="CK2021">
        <v>2</v>
      </c>
      <c r="CL2021">
        <v>0</v>
      </c>
      <c r="CM2021">
        <v>2</v>
      </c>
      <c r="CN2021">
        <v>0</v>
      </c>
      <c r="CO2021">
        <v>6</v>
      </c>
      <c r="CP2021" t="s">
        <v>119</v>
      </c>
      <c r="CQ2021">
        <v>232</v>
      </c>
      <c r="CR2021">
        <v>1</v>
      </c>
      <c r="CW2021">
        <v>15794966</v>
      </c>
      <c r="CY2021">
        <v>1</v>
      </c>
      <c r="CZ2021">
        <v>0</v>
      </c>
      <c r="DA2021">
        <v>1</v>
      </c>
      <c r="DB2021">
        <v>0</v>
      </c>
      <c r="DC2021">
        <v>0</v>
      </c>
      <c r="DD2021">
        <v>1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3">
      <c r="A2022" t="str">
        <f>"12/16/2021 14:53:20.352"</f>
        <v>12/16/2021 14:53:20.352</v>
      </c>
      <c r="C2022" t="str">
        <f t="shared" si="97"/>
        <v>FFDFD3C0</v>
      </c>
      <c r="D2022" t="s">
        <v>124</v>
      </c>
      <c r="E2022">
        <v>10</v>
      </c>
      <c r="F2022">
        <v>1010</v>
      </c>
      <c r="G2022" t="s">
        <v>130</v>
      </c>
      <c r="J2022" t="s">
        <v>125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>"14:53:20.164"</f>
        <v>14:53:20.164</v>
      </c>
      <c r="T2022" t="str">
        <f>"14:53:19.664"</f>
        <v>14:53:19.664</v>
      </c>
      <c r="U2022" t="str">
        <f t="shared" si="99"/>
        <v>A0F928</v>
      </c>
      <c r="V2022">
        <v>0</v>
      </c>
      <c r="W2022">
        <v>0</v>
      </c>
      <c r="X2022">
        <v>2</v>
      </c>
      <c r="Z2022">
        <v>0</v>
      </c>
      <c r="AA2022">
        <v>9</v>
      </c>
      <c r="AB2022">
        <v>3</v>
      </c>
      <c r="AC2022">
        <v>0</v>
      </c>
      <c r="AD2022">
        <v>10</v>
      </c>
      <c r="AE2022">
        <v>0</v>
      </c>
      <c r="AF2022">
        <v>0</v>
      </c>
      <c r="AG2022">
        <v>2</v>
      </c>
      <c r="AH2022">
        <v>1</v>
      </c>
      <c r="AI2022" t="s">
        <v>1060</v>
      </c>
      <c r="AJ2022">
        <v>35.858817000000002</v>
      </c>
      <c r="AK2022" t="s">
        <v>1065</v>
      </c>
      <c r="AL2022">
        <v>-83.971939000000006</v>
      </c>
      <c r="AM2022">
        <v>25</v>
      </c>
      <c r="AN2022">
        <v>1375</v>
      </c>
      <c r="AO2022" t="s">
        <v>118</v>
      </c>
      <c r="AP2022">
        <v>105</v>
      </c>
      <c r="AQ2022">
        <v>-5</v>
      </c>
      <c r="AR2022">
        <v>-320</v>
      </c>
      <c r="AZ2022">
        <v>300</v>
      </c>
      <c r="BA2022">
        <v>1</v>
      </c>
      <c r="BB2022" t="str">
        <f t="shared" si="98"/>
        <v xml:space="preserve">N162AM  </v>
      </c>
      <c r="BC2022">
        <v>1</v>
      </c>
      <c r="BE2022">
        <v>0</v>
      </c>
      <c r="BF2022">
        <v>0</v>
      </c>
      <c r="BG2022">
        <v>0</v>
      </c>
      <c r="BH2022">
        <v>1650</v>
      </c>
      <c r="BI2022">
        <v>1</v>
      </c>
      <c r="BJ2022">
        <v>1</v>
      </c>
      <c r="BK2022">
        <v>1</v>
      </c>
      <c r="BL2022">
        <v>0</v>
      </c>
      <c r="BO2022">
        <v>0</v>
      </c>
      <c r="BP2022">
        <v>0</v>
      </c>
      <c r="BW2022" t="str">
        <f>"14:53:20.164"</f>
        <v>14:53:20.164</v>
      </c>
      <c r="CJ2022">
        <v>2</v>
      </c>
      <c r="CK2022">
        <v>2</v>
      </c>
      <c r="CL2022">
        <v>0</v>
      </c>
      <c r="CM2022">
        <v>2</v>
      </c>
      <c r="CN2022">
        <v>0</v>
      </c>
      <c r="CO2022">
        <v>6</v>
      </c>
      <c r="CP2022" t="s">
        <v>119</v>
      </c>
      <c r="CQ2022">
        <v>232</v>
      </c>
      <c r="CR2022">
        <v>2</v>
      </c>
      <c r="CW2022">
        <v>7013055</v>
      </c>
      <c r="CY2022">
        <v>1</v>
      </c>
      <c r="CZ2022">
        <v>0</v>
      </c>
      <c r="DA2022">
        <v>0</v>
      </c>
      <c r="DB2022">
        <v>0</v>
      </c>
      <c r="DC2022">
        <v>0</v>
      </c>
      <c r="DD2022">
        <v>1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3">
      <c r="A2023" t="str">
        <f>"12/16/2021 14:53:20.352"</f>
        <v>12/16/2021 14:53:20.352</v>
      </c>
      <c r="C2023" t="str">
        <f t="shared" si="97"/>
        <v>FFDFD3C0</v>
      </c>
      <c r="D2023" t="s">
        <v>113</v>
      </c>
      <c r="E2023">
        <v>8</v>
      </c>
      <c r="H2023">
        <v>176</v>
      </c>
      <c r="I2023" t="s">
        <v>114</v>
      </c>
      <c r="J2023" t="s">
        <v>115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>"14:53:20.164"</f>
        <v>14:53:20.164</v>
      </c>
      <c r="T2023" t="str">
        <f>"14:53:19.664"</f>
        <v>14:53:19.664</v>
      </c>
      <c r="U2023" t="str">
        <f t="shared" si="99"/>
        <v>A0F928</v>
      </c>
      <c r="V2023">
        <v>0</v>
      </c>
      <c r="W2023">
        <v>0</v>
      </c>
      <c r="X2023">
        <v>2</v>
      </c>
      <c r="Z2023">
        <v>0</v>
      </c>
      <c r="AA2023">
        <v>9</v>
      </c>
      <c r="AB2023">
        <v>3</v>
      </c>
      <c r="AC2023">
        <v>0</v>
      </c>
      <c r="AD2023">
        <v>10</v>
      </c>
      <c r="AE2023">
        <v>0</v>
      </c>
      <c r="AF2023">
        <v>3</v>
      </c>
      <c r="AG2023">
        <v>2</v>
      </c>
      <c r="AH2023">
        <v>1</v>
      </c>
      <c r="AI2023" t="s">
        <v>1060</v>
      </c>
      <c r="AJ2023">
        <v>35.858817000000002</v>
      </c>
      <c r="AK2023" t="s">
        <v>1065</v>
      </c>
      <c r="AL2023">
        <v>-83.971939000000006</v>
      </c>
      <c r="AM2023">
        <v>25</v>
      </c>
      <c r="AN2023">
        <v>1375</v>
      </c>
      <c r="AO2023" t="s">
        <v>118</v>
      </c>
      <c r="AP2023">
        <v>105</v>
      </c>
      <c r="AQ2023">
        <v>-5</v>
      </c>
      <c r="AR2023">
        <v>-320</v>
      </c>
      <c r="AZ2023">
        <v>300</v>
      </c>
      <c r="BA2023">
        <v>1</v>
      </c>
      <c r="BB2023" t="str">
        <f t="shared" si="98"/>
        <v xml:space="preserve">N162AM  </v>
      </c>
      <c r="BC2023">
        <v>1</v>
      </c>
      <c r="BE2023">
        <v>0</v>
      </c>
      <c r="BF2023">
        <v>0</v>
      </c>
      <c r="BG2023">
        <v>0</v>
      </c>
      <c r="BH2023">
        <v>1650</v>
      </c>
      <c r="BI2023">
        <v>1</v>
      </c>
      <c r="BJ2023">
        <v>1</v>
      </c>
      <c r="BK2023">
        <v>1</v>
      </c>
      <c r="BL2023">
        <v>0</v>
      </c>
      <c r="BO2023">
        <v>0</v>
      </c>
      <c r="BP2023">
        <v>0</v>
      </c>
      <c r="BW2023" t="str">
        <f>"14:53:20.164"</f>
        <v>14:53:20.164</v>
      </c>
      <c r="CJ2023">
        <v>3</v>
      </c>
      <c r="CK2023">
        <v>2</v>
      </c>
      <c r="CL2023">
        <v>0</v>
      </c>
      <c r="CM2023">
        <v>2</v>
      </c>
      <c r="CN2023">
        <v>0</v>
      </c>
      <c r="CO2023">
        <v>6</v>
      </c>
      <c r="CP2023" t="s">
        <v>119</v>
      </c>
      <c r="CQ2023">
        <v>232</v>
      </c>
      <c r="CR2023">
        <v>2</v>
      </c>
      <c r="CW2023">
        <v>7013055</v>
      </c>
      <c r="CY2023">
        <v>1</v>
      </c>
      <c r="CZ2023">
        <v>0</v>
      </c>
      <c r="DA2023">
        <v>1</v>
      </c>
      <c r="DB2023">
        <v>0</v>
      </c>
      <c r="DC2023">
        <v>0</v>
      </c>
      <c r="DD2023">
        <v>1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3">
      <c r="A2024" t="str">
        <f>"12/16/2021 14:53:20.367"</f>
        <v>12/16/2021 14:53:20.367</v>
      </c>
      <c r="C2024" t="str">
        <f t="shared" si="97"/>
        <v>FFDFD3C0</v>
      </c>
      <c r="D2024" t="s">
        <v>133</v>
      </c>
      <c r="E2024">
        <v>44</v>
      </c>
      <c r="H2024">
        <v>131</v>
      </c>
      <c r="I2024" t="s">
        <v>134</v>
      </c>
      <c r="J2024" t="s">
        <v>135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>"14:53:20.164"</f>
        <v>14:53:20.164</v>
      </c>
      <c r="T2024" t="str">
        <f>"14:53:19.664"</f>
        <v>14:53:19.664</v>
      </c>
      <c r="U2024" t="str">
        <f t="shared" si="99"/>
        <v>A0F928</v>
      </c>
      <c r="V2024">
        <v>0</v>
      </c>
      <c r="W2024">
        <v>0</v>
      </c>
      <c r="X2024">
        <v>2</v>
      </c>
      <c r="Z2024">
        <v>0</v>
      </c>
      <c r="AA2024">
        <v>9</v>
      </c>
      <c r="AB2024">
        <v>3</v>
      </c>
      <c r="AC2024">
        <v>0</v>
      </c>
      <c r="AD2024">
        <v>10</v>
      </c>
      <c r="AE2024">
        <v>0</v>
      </c>
      <c r="AF2024">
        <v>3</v>
      </c>
      <c r="AG2024">
        <v>2</v>
      </c>
      <c r="AH2024">
        <v>1</v>
      </c>
      <c r="AI2024" t="s">
        <v>1060</v>
      </c>
      <c r="AJ2024">
        <v>35.858817000000002</v>
      </c>
      <c r="AK2024" t="s">
        <v>1065</v>
      </c>
      <c r="AL2024">
        <v>-83.971939000000006</v>
      </c>
      <c r="AM2024">
        <v>25</v>
      </c>
      <c r="AN2024">
        <v>1375</v>
      </c>
      <c r="AO2024" t="s">
        <v>118</v>
      </c>
      <c r="AP2024">
        <v>105</v>
      </c>
      <c r="AQ2024">
        <v>-5</v>
      </c>
      <c r="AR2024">
        <v>-320</v>
      </c>
      <c r="AZ2024">
        <v>300</v>
      </c>
      <c r="BA2024">
        <v>1</v>
      </c>
      <c r="BB2024" t="str">
        <f t="shared" si="98"/>
        <v xml:space="preserve">N162AM  </v>
      </c>
      <c r="BC2024">
        <v>1</v>
      </c>
      <c r="BE2024">
        <v>0</v>
      </c>
      <c r="BF2024">
        <v>0</v>
      </c>
      <c r="BG2024">
        <v>0</v>
      </c>
      <c r="BH2024">
        <v>1650</v>
      </c>
      <c r="BI2024">
        <v>1</v>
      </c>
      <c r="BJ2024">
        <v>1</v>
      </c>
      <c r="BK2024">
        <v>1</v>
      </c>
      <c r="BL2024">
        <v>0</v>
      </c>
      <c r="BO2024">
        <v>0</v>
      </c>
      <c r="BP2024">
        <v>0</v>
      </c>
      <c r="BW2024" t="str">
        <f>"14:53:20.164"</f>
        <v>14:53:20.164</v>
      </c>
      <c r="CJ2024">
        <v>3</v>
      </c>
      <c r="CK2024">
        <v>2</v>
      </c>
      <c r="CL2024">
        <v>0</v>
      </c>
      <c r="CM2024">
        <v>2</v>
      </c>
      <c r="CN2024">
        <v>0</v>
      </c>
      <c r="CO2024">
        <v>6</v>
      </c>
      <c r="CP2024" t="s">
        <v>119</v>
      </c>
      <c r="CQ2024">
        <v>232</v>
      </c>
      <c r="CR2024">
        <v>2</v>
      </c>
      <c r="CW2024">
        <v>7013055</v>
      </c>
      <c r="CY2024">
        <v>1</v>
      </c>
      <c r="CZ2024">
        <v>0</v>
      </c>
      <c r="DA2024">
        <v>1</v>
      </c>
      <c r="DB2024">
        <v>0</v>
      </c>
      <c r="DC2024">
        <v>0</v>
      </c>
      <c r="DD2024">
        <v>1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3">
      <c r="A2025" t="str">
        <f>"12/16/2021 14:53:20.383"</f>
        <v>12/16/2021 14:53:20.383</v>
      </c>
      <c r="C2025" t="str">
        <f t="shared" si="97"/>
        <v>FFDFD3C0</v>
      </c>
      <c r="D2025" t="s">
        <v>124</v>
      </c>
      <c r="E2025">
        <v>5</v>
      </c>
      <c r="F2025">
        <v>1005</v>
      </c>
      <c r="G2025" t="s">
        <v>114</v>
      </c>
      <c r="J2025" t="s">
        <v>125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>"14:53:20.164"</f>
        <v>14:53:20.164</v>
      </c>
      <c r="T2025" t="str">
        <f>"14:53:19.664"</f>
        <v>14:53:19.664</v>
      </c>
      <c r="U2025" t="str">
        <f t="shared" si="99"/>
        <v>A0F928</v>
      </c>
      <c r="V2025">
        <v>0</v>
      </c>
      <c r="W2025">
        <v>0</v>
      </c>
      <c r="X2025">
        <v>2</v>
      </c>
      <c r="Z2025">
        <v>0</v>
      </c>
      <c r="AA2025">
        <v>9</v>
      </c>
      <c r="AB2025">
        <v>3</v>
      </c>
      <c r="AC2025">
        <v>0</v>
      </c>
      <c r="AD2025">
        <v>10</v>
      </c>
      <c r="AE2025">
        <v>0</v>
      </c>
      <c r="AF2025">
        <v>3</v>
      </c>
      <c r="AG2025">
        <v>2</v>
      </c>
      <c r="AH2025">
        <v>1</v>
      </c>
      <c r="AI2025" t="s">
        <v>1060</v>
      </c>
      <c r="AJ2025">
        <v>35.858817000000002</v>
      </c>
      <c r="AK2025" t="s">
        <v>1065</v>
      </c>
      <c r="AL2025">
        <v>-83.971939000000006</v>
      </c>
      <c r="AM2025">
        <v>25</v>
      </c>
      <c r="AN2025">
        <v>1375</v>
      </c>
      <c r="AO2025" t="s">
        <v>118</v>
      </c>
      <c r="AP2025">
        <v>105</v>
      </c>
      <c r="AQ2025">
        <v>-5</v>
      </c>
      <c r="AR2025">
        <v>-320</v>
      </c>
      <c r="AZ2025">
        <v>300</v>
      </c>
      <c r="BA2025">
        <v>1</v>
      </c>
      <c r="BB2025" t="str">
        <f t="shared" si="98"/>
        <v xml:space="preserve">N162AM  </v>
      </c>
      <c r="BC2025">
        <v>1</v>
      </c>
      <c r="BE2025">
        <v>0</v>
      </c>
      <c r="BF2025">
        <v>0</v>
      </c>
      <c r="BG2025">
        <v>0</v>
      </c>
      <c r="BH2025">
        <v>1650</v>
      </c>
      <c r="BI2025">
        <v>1</v>
      </c>
      <c r="BJ2025">
        <v>1</v>
      </c>
      <c r="BK2025">
        <v>1</v>
      </c>
      <c r="BL2025">
        <v>0</v>
      </c>
      <c r="BO2025">
        <v>0</v>
      </c>
      <c r="BP2025">
        <v>0</v>
      </c>
      <c r="BW2025" t="str">
        <f>"14:53:20.164"</f>
        <v>14:53:20.164</v>
      </c>
      <c r="CJ2025">
        <v>3</v>
      </c>
      <c r="CK2025">
        <v>2</v>
      </c>
      <c r="CL2025">
        <v>0</v>
      </c>
      <c r="CM2025">
        <v>2</v>
      </c>
      <c r="CN2025">
        <v>0</v>
      </c>
      <c r="CO2025">
        <v>6</v>
      </c>
      <c r="CP2025" t="s">
        <v>119</v>
      </c>
      <c r="CQ2025">
        <v>232</v>
      </c>
      <c r="CR2025">
        <v>2</v>
      </c>
      <c r="CW2025">
        <v>7013055</v>
      </c>
      <c r="CY2025">
        <v>1</v>
      </c>
      <c r="CZ2025">
        <v>0</v>
      </c>
      <c r="DA2025">
        <v>1</v>
      </c>
      <c r="DB2025">
        <v>0</v>
      </c>
      <c r="DC2025">
        <v>0</v>
      </c>
      <c r="DD2025">
        <v>1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3">
      <c r="A2026" t="str">
        <f>"12/16/2021 14:53:21.352"</f>
        <v>12/16/2021 14:53:21.352</v>
      </c>
      <c r="C2026" t="str">
        <f t="shared" si="97"/>
        <v>FFDFD3C0</v>
      </c>
      <c r="D2026" t="s">
        <v>124</v>
      </c>
      <c r="E2026">
        <v>5</v>
      </c>
      <c r="F2026">
        <v>1005</v>
      </c>
      <c r="G2026" t="s">
        <v>114</v>
      </c>
      <c r="J2026" t="s">
        <v>125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>"14:53:21.164"</f>
        <v>14:53:21.164</v>
      </c>
      <c r="T2026" t="str">
        <f>"14:53:20.764"</f>
        <v>14:53:20.764</v>
      </c>
      <c r="U2026" t="str">
        <f t="shared" si="99"/>
        <v>A0F928</v>
      </c>
      <c r="V2026">
        <v>0</v>
      </c>
      <c r="W2026">
        <v>0</v>
      </c>
      <c r="X2026">
        <v>2</v>
      </c>
      <c r="Z2026">
        <v>0</v>
      </c>
      <c r="AA2026">
        <v>9</v>
      </c>
      <c r="AB2026">
        <v>3</v>
      </c>
      <c r="AC2026">
        <v>0</v>
      </c>
      <c r="AD2026">
        <v>10</v>
      </c>
      <c r="AE2026">
        <v>0</v>
      </c>
      <c r="AF2026">
        <v>3</v>
      </c>
      <c r="AG2026">
        <v>2</v>
      </c>
      <c r="AH2026">
        <v>1</v>
      </c>
      <c r="AI2026" t="s">
        <v>1058</v>
      </c>
      <c r="AJ2026">
        <v>35.858773999999997</v>
      </c>
      <c r="AK2026" t="s">
        <v>1066</v>
      </c>
      <c r="AL2026">
        <v>-83.971316999999999</v>
      </c>
      <c r="AM2026">
        <v>25</v>
      </c>
      <c r="AN2026">
        <v>1375</v>
      </c>
      <c r="AO2026" t="s">
        <v>118</v>
      </c>
      <c r="AP2026">
        <v>104</v>
      </c>
      <c r="AQ2026">
        <v>-12</v>
      </c>
      <c r="AR2026">
        <v>-512</v>
      </c>
      <c r="AZ2026">
        <v>300</v>
      </c>
      <c r="BA2026">
        <v>1</v>
      </c>
      <c r="BB2026" t="str">
        <f t="shared" si="98"/>
        <v xml:space="preserve">N162AM  </v>
      </c>
      <c r="BC2026">
        <v>1</v>
      </c>
      <c r="BE2026">
        <v>0</v>
      </c>
      <c r="BF2026">
        <v>0</v>
      </c>
      <c r="BG2026">
        <v>0</v>
      </c>
      <c r="BH2026">
        <v>1625</v>
      </c>
      <c r="BI2026">
        <v>1</v>
      </c>
      <c r="BJ2026">
        <v>1</v>
      </c>
      <c r="BK2026">
        <v>1</v>
      </c>
      <c r="BL2026">
        <v>0</v>
      </c>
      <c r="BO2026">
        <v>0</v>
      </c>
      <c r="BP2026">
        <v>0</v>
      </c>
      <c r="BW2026" t="str">
        <f>"14:53:21.165"</f>
        <v>14:53:21.165</v>
      </c>
      <c r="CJ2026">
        <v>3</v>
      </c>
      <c r="CK2026">
        <v>2</v>
      </c>
      <c r="CL2026">
        <v>0</v>
      </c>
      <c r="CM2026">
        <v>2</v>
      </c>
      <c r="CN2026">
        <v>0</v>
      </c>
      <c r="CO2026">
        <v>6</v>
      </c>
      <c r="CP2026" t="s">
        <v>119</v>
      </c>
      <c r="CQ2026">
        <v>232</v>
      </c>
      <c r="CR2026">
        <v>2</v>
      </c>
      <c r="CW2026">
        <v>7014588</v>
      </c>
      <c r="CY2026">
        <v>1</v>
      </c>
      <c r="CZ2026">
        <v>0</v>
      </c>
      <c r="DA2026">
        <v>0</v>
      </c>
      <c r="DB2026">
        <v>0</v>
      </c>
      <c r="DC2026">
        <v>0</v>
      </c>
      <c r="DD2026">
        <v>1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3">
      <c r="A2027" t="str">
        <f>"12/16/2021 14:53:21.352"</f>
        <v>12/16/2021 14:53:21.352</v>
      </c>
      <c r="C2027" t="str">
        <f t="shared" si="97"/>
        <v>FFDFD3C0</v>
      </c>
      <c r="D2027" t="s">
        <v>124</v>
      </c>
      <c r="E2027">
        <v>10</v>
      </c>
      <c r="F2027">
        <v>1010</v>
      </c>
      <c r="G2027" t="s">
        <v>130</v>
      </c>
      <c r="J2027" t="s">
        <v>125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>"14:53:21.164"</f>
        <v>14:53:21.164</v>
      </c>
      <c r="T2027" t="str">
        <f>"14:53:20.764"</f>
        <v>14:53:20.764</v>
      </c>
      <c r="U2027" t="str">
        <f t="shared" si="99"/>
        <v>A0F928</v>
      </c>
      <c r="V2027">
        <v>0</v>
      </c>
      <c r="W2027">
        <v>0</v>
      </c>
      <c r="X2027">
        <v>2</v>
      </c>
      <c r="Z2027">
        <v>0</v>
      </c>
      <c r="AA2027">
        <v>9</v>
      </c>
      <c r="AB2027">
        <v>3</v>
      </c>
      <c r="AC2027">
        <v>0</v>
      </c>
      <c r="AD2027">
        <v>10</v>
      </c>
      <c r="AE2027">
        <v>0</v>
      </c>
      <c r="AF2027">
        <v>0</v>
      </c>
      <c r="AG2027">
        <v>2</v>
      </c>
      <c r="AH2027">
        <v>1</v>
      </c>
      <c r="AI2027" t="s">
        <v>1058</v>
      </c>
      <c r="AJ2027">
        <v>35.858773999999997</v>
      </c>
      <c r="AK2027" t="s">
        <v>1066</v>
      </c>
      <c r="AL2027">
        <v>-83.971316999999999</v>
      </c>
      <c r="AM2027">
        <v>25</v>
      </c>
      <c r="AN2027">
        <v>1375</v>
      </c>
      <c r="AO2027" t="s">
        <v>118</v>
      </c>
      <c r="AP2027">
        <v>104</v>
      </c>
      <c r="AQ2027">
        <v>-12</v>
      </c>
      <c r="AR2027">
        <v>-512</v>
      </c>
      <c r="AZ2027">
        <v>300</v>
      </c>
      <c r="BA2027">
        <v>1</v>
      </c>
      <c r="BB2027" t="str">
        <f t="shared" si="98"/>
        <v xml:space="preserve">N162AM  </v>
      </c>
      <c r="BC2027">
        <v>1</v>
      </c>
      <c r="BE2027">
        <v>0</v>
      </c>
      <c r="BF2027">
        <v>0</v>
      </c>
      <c r="BG2027">
        <v>0</v>
      </c>
      <c r="BH2027">
        <v>1625</v>
      </c>
      <c r="BI2027">
        <v>1</v>
      </c>
      <c r="BJ2027">
        <v>1</v>
      </c>
      <c r="BK2027">
        <v>1</v>
      </c>
      <c r="BL2027">
        <v>0</v>
      </c>
      <c r="BO2027">
        <v>0</v>
      </c>
      <c r="BP2027">
        <v>0</v>
      </c>
      <c r="BW2027" t="str">
        <f>"14:53:21.165"</f>
        <v>14:53:21.165</v>
      </c>
      <c r="CJ2027">
        <v>2</v>
      </c>
      <c r="CK2027">
        <v>2</v>
      </c>
      <c r="CL2027">
        <v>0</v>
      </c>
      <c r="CM2027">
        <v>2</v>
      </c>
      <c r="CN2027">
        <v>0</v>
      </c>
      <c r="CO2027">
        <v>6</v>
      </c>
      <c r="CP2027" t="s">
        <v>119</v>
      </c>
      <c r="CQ2027">
        <v>232</v>
      </c>
      <c r="CR2027">
        <v>2</v>
      </c>
      <c r="CW2027">
        <v>7014588</v>
      </c>
      <c r="CY2027">
        <v>1</v>
      </c>
      <c r="CZ2027">
        <v>0</v>
      </c>
      <c r="DA2027">
        <v>1</v>
      </c>
      <c r="DB2027">
        <v>0</v>
      </c>
      <c r="DC2027">
        <v>0</v>
      </c>
      <c r="DD2027">
        <v>1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3">
      <c r="A2028" t="str">
        <f>"12/16/2021 14:53:21.383"</f>
        <v>12/16/2021 14:53:21.383</v>
      </c>
      <c r="C2028" t="str">
        <f t="shared" si="97"/>
        <v>FFDFD3C0</v>
      </c>
      <c r="D2028" t="s">
        <v>113</v>
      </c>
      <c r="E2028">
        <v>8</v>
      </c>
      <c r="H2028">
        <v>176</v>
      </c>
      <c r="I2028" t="s">
        <v>114</v>
      </c>
      <c r="J2028" t="s">
        <v>115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>"14:53:21.164"</f>
        <v>14:53:21.164</v>
      </c>
      <c r="T2028" t="str">
        <f>"14:53:20.764"</f>
        <v>14:53:20.764</v>
      </c>
      <c r="U2028" t="str">
        <f t="shared" si="99"/>
        <v>A0F928</v>
      </c>
      <c r="V2028">
        <v>0</v>
      </c>
      <c r="W2028">
        <v>0</v>
      </c>
      <c r="X2028">
        <v>2</v>
      </c>
      <c r="Z2028">
        <v>0</v>
      </c>
      <c r="AA2028">
        <v>9</v>
      </c>
      <c r="AB2028">
        <v>3</v>
      </c>
      <c r="AC2028">
        <v>0</v>
      </c>
      <c r="AD2028">
        <v>10</v>
      </c>
      <c r="AE2028">
        <v>0</v>
      </c>
      <c r="AF2028">
        <v>3</v>
      </c>
      <c r="AG2028">
        <v>2</v>
      </c>
      <c r="AH2028">
        <v>1</v>
      </c>
      <c r="AI2028" t="s">
        <v>1058</v>
      </c>
      <c r="AJ2028">
        <v>35.858773999999997</v>
      </c>
      <c r="AK2028" t="s">
        <v>1066</v>
      </c>
      <c r="AL2028">
        <v>-83.971316999999999</v>
      </c>
      <c r="AM2028">
        <v>25</v>
      </c>
      <c r="AN2028">
        <v>1375</v>
      </c>
      <c r="AO2028" t="s">
        <v>118</v>
      </c>
      <c r="AP2028">
        <v>104</v>
      </c>
      <c r="AQ2028">
        <v>-12</v>
      </c>
      <c r="AR2028">
        <v>-512</v>
      </c>
      <c r="AZ2028">
        <v>300</v>
      </c>
      <c r="BA2028">
        <v>1</v>
      </c>
      <c r="BB2028" t="str">
        <f t="shared" si="98"/>
        <v xml:space="preserve">N162AM  </v>
      </c>
      <c r="BC2028">
        <v>1</v>
      </c>
      <c r="BE2028">
        <v>0</v>
      </c>
      <c r="BF2028">
        <v>0</v>
      </c>
      <c r="BG2028">
        <v>0</v>
      </c>
      <c r="BH2028">
        <v>1625</v>
      </c>
      <c r="BI2028">
        <v>1</v>
      </c>
      <c r="BJ2028">
        <v>1</v>
      </c>
      <c r="BK2028">
        <v>1</v>
      </c>
      <c r="BL2028">
        <v>0</v>
      </c>
      <c r="BO2028">
        <v>0</v>
      </c>
      <c r="BP2028">
        <v>0</v>
      </c>
      <c r="BW2028" t="str">
        <f>"14:53:21.165"</f>
        <v>14:53:21.165</v>
      </c>
      <c r="CJ2028">
        <v>3</v>
      </c>
      <c r="CK2028">
        <v>2</v>
      </c>
      <c r="CL2028">
        <v>0</v>
      </c>
      <c r="CM2028">
        <v>2</v>
      </c>
      <c r="CN2028">
        <v>0</v>
      </c>
      <c r="CO2028">
        <v>6</v>
      </c>
      <c r="CP2028" t="s">
        <v>119</v>
      </c>
      <c r="CQ2028">
        <v>232</v>
      </c>
      <c r="CR2028">
        <v>2</v>
      </c>
      <c r="CW2028">
        <v>7014588</v>
      </c>
      <c r="CY2028">
        <v>1</v>
      </c>
      <c r="CZ2028">
        <v>0</v>
      </c>
      <c r="DA2028">
        <v>1</v>
      </c>
      <c r="DB2028">
        <v>0</v>
      </c>
      <c r="DC2028">
        <v>0</v>
      </c>
      <c r="DD2028">
        <v>1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3">
      <c r="A2029" t="str">
        <f>"12/16/2021 14:53:21.383"</f>
        <v>12/16/2021 14:53:21.383</v>
      </c>
      <c r="C2029" t="str">
        <f t="shared" si="97"/>
        <v>FFDFD3C0</v>
      </c>
      <c r="D2029" t="s">
        <v>133</v>
      </c>
      <c r="E2029">
        <v>44</v>
      </c>
      <c r="H2029">
        <v>131</v>
      </c>
      <c r="I2029" t="s">
        <v>134</v>
      </c>
      <c r="J2029" t="s">
        <v>135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>"14:53:21.164"</f>
        <v>14:53:21.164</v>
      </c>
      <c r="T2029" t="str">
        <f>"14:53:20.764"</f>
        <v>14:53:20.764</v>
      </c>
      <c r="U2029" t="str">
        <f t="shared" si="99"/>
        <v>A0F928</v>
      </c>
      <c r="V2029">
        <v>0</v>
      </c>
      <c r="W2029">
        <v>0</v>
      </c>
      <c r="X2029">
        <v>2</v>
      </c>
      <c r="Z2029">
        <v>0</v>
      </c>
      <c r="AA2029">
        <v>9</v>
      </c>
      <c r="AB2029">
        <v>3</v>
      </c>
      <c r="AC2029">
        <v>0</v>
      </c>
      <c r="AD2029">
        <v>10</v>
      </c>
      <c r="AE2029">
        <v>0</v>
      </c>
      <c r="AF2029">
        <v>3</v>
      </c>
      <c r="AG2029">
        <v>2</v>
      </c>
      <c r="AH2029">
        <v>1</v>
      </c>
      <c r="AI2029" t="s">
        <v>1058</v>
      </c>
      <c r="AJ2029">
        <v>35.858773999999997</v>
      </c>
      <c r="AK2029" t="s">
        <v>1066</v>
      </c>
      <c r="AL2029">
        <v>-83.971316999999999</v>
      </c>
      <c r="AM2029">
        <v>25</v>
      </c>
      <c r="AN2029">
        <v>1375</v>
      </c>
      <c r="AO2029" t="s">
        <v>118</v>
      </c>
      <c r="AP2029">
        <v>104</v>
      </c>
      <c r="AQ2029">
        <v>-12</v>
      </c>
      <c r="AR2029">
        <v>-512</v>
      </c>
      <c r="AZ2029">
        <v>300</v>
      </c>
      <c r="BA2029">
        <v>1</v>
      </c>
      <c r="BB2029" t="str">
        <f t="shared" si="98"/>
        <v xml:space="preserve">N162AM  </v>
      </c>
      <c r="BC2029">
        <v>1</v>
      </c>
      <c r="BE2029">
        <v>0</v>
      </c>
      <c r="BF2029">
        <v>0</v>
      </c>
      <c r="BG2029">
        <v>0</v>
      </c>
      <c r="BH2029">
        <v>1625</v>
      </c>
      <c r="BI2029">
        <v>1</v>
      </c>
      <c r="BJ2029">
        <v>1</v>
      </c>
      <c r="BK2029">
        <v>1</v>
      </c>
      <c r="BL2029">
        <v>0</v>
      </c>
      <c r="BO2029">
        <v>0</v>
      </c>
      <c r="BP2029">
        <v>0</v>
      </c>
      <c r="BW2029" t="str">
        <f>"14:53:21.165"</f>
        <v>14:53:21.165</v>
      </c>
      <c r="CJ2029">
        <v>3</v>
      </c>
      <c r="CK2029">
        <v>2</v>
      </c>
      <c r="CL2029">
        <v>0</v>
      </c>
      <c r="CM2029">
        <v>2</v>
      </c>
      <c r="CN2029">
        <v>0</v>
      </c>
      <c r="CO2029">
        <v>6</v>
      </c>
      <c r="CP2029" t="s">
        <v>119</v>
      </c>
      <c r="CQ2029">
        <v>232</v>
      </c>
      <c r="CR2029">
        <v>2</v>
      </c>
      <c r="CW2029">
        <v>7014588</v>
      </c>
      <c r="CY2029">
        <v>1</v>
      </c>
      <c r="CZ2029">
        <v>0</v>
      </c>
      <c r="DA2029">
        <v>1</v>
      </c>
      <c r="DB2029">
        <v>0</v>
      </c>
      <c r="DC2029">
        <v>0</v>
      </c>
      <c r="DD2029">
        <v>1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3">
      <c r="A2030" t="str">
        <f>"12/16/2021 14:53:22.367"</f>
        <v>12/16/2021 14:53:22.367</v>
      </c>
      <c r="C2030" t="str">
        <f t="shared" ref="C2030:C2093" si="100">"FFDFD3C0"</f>
        <v>FFDFD3C0</v>
      </c>
      <c r="D2030" t="s">
        <v>124</v>
      </c>
      <c r="E2030">
        <v>10</v>
      </c>
      <c r="F2030">
        <v>1010</v>
      </c>
      <c r="G2030" t="s">
        <v>130</v>
      </c>
      <c r="J2030" t="s">
        <v>125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>"14:53:22.164"</f>
        <v>14:53:22.164</v>
      </c>
      <c r="T2030" t="str">
        <f>"14:53:21.764"</f>
        <v>14:53:21.764</v>
      </c>
      <c r="U2030" t="str">
        <f t="shared" si="99"/>
        <v>A0F928</v>
      </c>
      <c r="V2030">
        <v>0</v>
      </c>
      <c r="W2030">
        <v>0</v>
      </c>
      <c r="X2030">
        <v>2</v>
      </c>
      <c r="Z2030">
        <v>0</v>
      </c>
      <c r="AA2030">
        <v>9</v>
      </c>
      <c r="AB2030">
        <v>3</v>
      </c>
      <c r="AC2030">
        <v>0</v>
      </c>
      <c r="AD2030">
        <v>10</v>
      </c>
      <c r="AE2030">
        <v>0</v>
      </c>
      <c r="AF2030">
        <v>0</v>
      </c>
      <c r="AG2030">
        <v>2</v>
      </c>
      <c r="AH2030">
        <v>1</v>
      </c>
      <c r="AI2030" t="s">
        <v>1067</v>
      </c>
      <c r="AJ2030">
        <v>35.858688000000001</v>
      </c>
      <c r="AK2030" t="s">
        <v>1068</v>
      </c>
      <c r="AL2030">
        <v>-83.970737</v>
      </c>
      <c r="AM2030">
        <v>25</v>
      </c>
      <c r="AN2030">
        <v>1350</v>
      </c>
      <c r="AO2030" t="s">
        <v>118</v>
      </c>
      <c r="AP2030">
        <v>103</v>
      </c>
      <c r="AQ2030">
        <v>-19</v>
      </c>
      <c r="AR2030">
        <v>-704</v>
      </c>
      <c r="AZ2030">
        <v>300</v>
      </c>
      <c r="BA2030">
        <v>1</v>
      </c>
      <c r="BB2030" t="str">
        <f t="shared" ref="BB2030:BB2093" si="101">"N162AM  "</f>
        <v xml:space="preserve">N162AM  </v>
      </c>
      <c r="BC2030">
        <v>1</v>
      </c>
      <c r="BE2030">
        <v>0</v>
      </c>
      <c r="BF2030">
        <v>0</v>
      </c>
      <c r="BG2030">
        <v>0</v>
      </c>
      <c r="BH2030">
        <v>1625</v>
      </c>
      <c r="BI2030">
        <v>1</v>
      </c>
      <c r="BJ2030">
        <v>1</v>
      </c>
      <c r="BK2030">
        <v>1</v>
      </c>
      <c r="BL2030">
        <v>0</v>
      </c>
      <c r="BO2030">
        <v>0</v>
      </c>
      <c r="BP2030">
        <v>0</v>
      </c>
      <c r="BW2030" t="str">
        <f>"14:53:22.168"</f>
        <v>14:53:22.168</v>
      </c>
      <c r="CJ2030">
        <v>2</v>
      </c>
      <c r="CK2030">
        <v>2</v>
      </c>
      <c r="CL2030">
        <v>0</v>
      </c>
      <c r="CM2030">
        <v>2</v>
      </c>
      <c r="CN2030">
        <v>0</v>
      </c>
      <c r="CO2030">
        <v>6</v>
      </c>
      <c r="CP2030" t="s">
        <v>119</v>
      </c>
      <c r="CQ2030">
        <v>232</v>
      </c>
      <c r="CR2030">
        <v>1</v>
      </c>
      <c r="CW2030">
        <v>15799406</v>
      </c>
      <c r="CY2030">
        <v>1</v>
      </c>
      <c r="CZ2030">
        <v>0</v>
      </c>
      <c r="DA2030">
        <v>0</v>
      </c>
      <c r="DB2030">
        <v>0</v>
      </c>
      <c r="DC2030">
        <v>0</v>
      </c>
      <c r="DD2030">
        <v>1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3">
      <c r="A2031" t="str">
        <f>"12/16/2021 14:53:22.399"</f>
        <v>12/16/2021 14:53:22.399</v>
      </c>
      <c r="C2031" t="str">
        <f t="shared" si="100"/>
        <v>FFDFD3C0</v>
      </c>
      <c r="D2031" t="s">
        <v>113</v>
      </c>
      <c r="E2031">
        <v>8</v>
      </c>
      <c r="H2031">
        <v>176</v>
      </c>
      <c r="I2031" t="s">
        <v>114</v>
      </c>
      <c r="J2031" t="s">
        <v>115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>"14:53:22.164"</f>
        <v>14:53:22.164</v>
      </c>
      <c r="T2031" t="str">
        <f>"14:53:21.764"</f>
        <v>14:53:21.764</v>
      </c>
      <c r="U2031" t="str">
        <f t="shared" si="99"/>
        <v>A0F928</v>
      </c>
      <c r="V2031">
        <v>0</v>
      </c>
      <c r="W2031">
        <v>0</v>
      </c>
      <c r="X2031">
        <v>2</v>
      </c>
      <c r="Z2031">
        <v>0</v>
      </c>
      <c r="AA2031">
        <v>9</v>
      </c>
      <c r="AB2031">
        <v>3</v>
      </c>
      <c r="AC2031">
        <v>0</v>
      </c>
      <c r="AD2031">
        <v>10</v>
      </c>
      <c r="AE2031">
        <v>0</v>
      </c>
      <c r="AF2031">
        <v>3</v>
      </c>
      <c r="AG2031">
        <v>2</v>
      </c>
      <c r="AH2031">
        <v>1</v>
      </c>
      <c r="AI2031" t="s">
        <v>1067</v>
      </c>
      <c r="AJ2031">
        <v>35.858688000000001</v>
      </c>
      <c r="AK2031" t="s">
        <v>1068</v>
      </c>
      <c r="AL2031">
        <v>-83.970737</v>
      </c>
      <c r="AM2031">
        <v>25</v>
      </c>
      <c r="AN2031">
        <v>1350</v>
      </c>
      <c r="AO2031" t="s">
        <v>118</v>
      </c>
      <c r="AP2031">
        <v>103</v>
      </c>
      <c r="AQ2031">
        <v>-19</v>
      </c>
      <c r="AR2031">
        <v>-704</v>
      </c>
      <c r="AZ2031">
        <v>300</v>
      </c>
      <c r="BA2031">
        <v>1</v>
      </c>
      <c r="BB2031" t="str">
        <f t="shared" si="101"/>
        <v xml:space="preserve">N162AM  </v>
      </c>
      <c r="BC2031">
        <v>1</v>
      </c>
      <c r="BE2031">
        <v>0</v>
      </c>
      <c r="BF2031">
        <v>0</v>
      </c>
      <c r="BG2031">
        <v>0</v>
      </c>
      <c r="BH2031">
        <v>1625</v>
      </c>
      <c r="BI2031">
        <v>1</v>
      </c>
      <c r="BJ2031">
        <v>1</v>
      </c>
      <c r="BK2031">
        <v>1</v>
      </c>
      <c r="BL2031">
        <v>0</v>
      </c>
      <c r="BO2031">
        <v>0</v>
      </c>
      <c r="BP2031">
        <v>0</v>
      </c>
      <c r="BW2031" t="str">
        <f>"14:53:22.168"</f>
        <v>14:53:22.168</v>
      </c>
      <c r="CJ2031">
        <v>3</v>
      </c>
      <c r="CK2031">
        <v>2</v>
      </c>
      <c r="CL2031">
        <v>0</v>
      </c>
      <c r="CM2031">
        <v>2</v>
      </c>
      <c r="CN2031">
        <v>0</v>
      </c>
      <c r="CO2031">
        <v>6</v>
      </c>
      <c r="CP2031" t="s">
        <v>119</v>
      </c>
      <c r="CQ2031">
        <v>232</v>
      </c>
      <c r="CR2031">
        <v>1</v>
      </c>
      <c r="CW2031">
        <v>15799406</v>
      </c>
      <c r="CY2031">
        <v>1</v>
      </c>
      <c r="CZ2031">
        <v>0</v>
      </c>
      <c r="DA2031">
        <v>1</v>
      </c>
      <c r="DB2031">
        <v>0</v>
      </c>
      <c r="DC2031">
        <v>0</v>
      </c>
      <c r="DD2031">
        <v>1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3">
      <c r="A2032" t="str">
        <f>"12/16/2021 14:53:22.399"</f>
        <v>12/16/2021 14:53:22.399</v>
      </c>
      <c r="C2032" t="str">
        <f t="shared" si="100"/>
        <v>FFDFD3C0</v>
      </c>
      <c r="D2032" t="s">
        <v>133</v>
      </c>
      <c r="E2032">
        <v>44</v>
      </c>
      <c r="H2032">
        <v>131</v>
      </c>
      <c r="I2032" t="s">
        <v>134</v>
      </c>
      <c r="J2032" t="s">
        <v>135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>"14:53:22.164"</f>
        <v>14:53:22.164</v>
      </c>
      <c r="T2032" t="str">
        <f>"14:53:21.764"</f>
        <v>14:53:21.764</v>
      </c>
      <c r="U2032" t="str">
        <f t="shared" si="99"/>
        <v>A0F928</v>
      </c>
      <c r="V2032">
        <v>0</v>
      </c>
      <c r="W2032">
        <v>0</v>
      </c>
      <c r="X2032">
        <v>2</v>
      </c>
      <c r="Z2032">
        <v>0</v>
      </c>
      <c r="AA2032">
        <v>9</v>
      </c>
      <c r="AB2032">
        <v>3</v>
      </c>
      <c r="AC2032">
        <v>0</v>
      </c>
      <c r="AD2032">
        <v>10</v>
      </c>
      <c r="AE2032">
        <v>0</v>
      </c>
      <c r="AF2032">
        <v>3</v>
      </c>
      <c r="AG2032">
        <v>2</v>
      </c>
      <c r="AH2032">
        <v>1</v>
      </c>
      <c r="AI2032" t="s">
        <v>1067</v>
      </c>
      <c r="AJ2032">
        <v>35.858688000000001</v>
      </c>
      <c r="AK2032" t="s">
        <v>1068</v>
      </c>
      <c r="AL2032">
        <v>-83.970737</v>
      </c>
      <c r="AM2032">
        <v>25</v>
      </c>
      <c r="AN2032">
        <v>1350</v>
      </c>
      <c r="AO2032" t="s">
        <v>118</v>
      </c>
      <c r="AP2032">
        <v>103</v>
      </c>
      <c r="AQ2032">
        <v>-19</v>
      </c>
      <c r="AR2032">
        <v>-704</v>
      </c>
      <c r="AZ2032">
        <v>300</v>
      </c>
      <c r="BA2032">
        <v>1</v>
      </c>
      <c r="BB2032" t="str">
        <f t="shared" si="101"/>
        <v xml:space="preserve">N162AM  </v>
      </c>
      <c r="BC2032">
        <v>1</v>
      </c>
      <c r="BE2032">
        <v>0</v>
      </c>
      <c r="BF2032">
        <v>0</v>
      </c>
      <c r="BG2032">
        <v>0</v>
      </c>
      <c r="BH2032">
        <v>1625</v>
      </c>
      <c r="BI2032">
        <v>1</v>
      </c>
      <c r="BJ2032">
        <v>1</v>
      </c>
      <c r="BK2032">
        <v>1</v>
      </c>
      <c r="BL2032">
        <v>0</v>
      </c>
      <c r="BO2032">
        <v>0</v>
      </c>
      <c r="BP2032">
        <v>0</v>
      </c>
      <c r="BW2032" t="str">
        <f>"14:53:22.168"</f>
        <v>14:53:22.168</v>
      </c>
      <c r="CJ2032">
        <v>3</v>
      </c>
      <c r="CK2032">
        <v>2</v>
      </c>
      <c r="CL2032">
        <v>0</v>
      </c>
      <c r="CM2032">
        <v>2</v>
      </c>
      <c r="CN2032">
        <v>0</v>
      </c>
      <c r="CO2032">
        <v>6</v>
      </c>
      <c r="CP2032" t="s">
        <v>119</v>
      </c>
      <c r="CQ2032">
        <v>232</v>
      </c>
      <c r="CR2032">
        <v>1</v>
      </c>
      <c r="CW2032">
        <v>15799406</v>
      </c>
      <c r="CY2032">
        <v>1</v>
      </c>
      <c r="CZ2032">
        <v>0</v>
      </c>
      <c r="DA2032">
        <v>1</v>
      </c>
      <c r="DB2032">
        <v>0</v>
      </c>
      <c r="DC2032">
        <v>0</v>
      </c>
      <c r="DD2032">
        <v>1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3">
      <c r="A2033" t="str">
        <f>"12/16/2021 14:53:22.399"</f>
        <v>12/16/2021 14:53:22.399</v>
      </c>
      <c r="C2033" t="str">
        <f t="shared" si="100"/>
        <v>FFDFD3C0</v>
      </c>
      <c r="D2033" t="s">
        <v>124</v>
      </c>
      <c r="E2033">
        <v>5</v>
      </c>
      <c r="F2033">
        <v>1005</v>
      </c>
      <c r="G2033" t="s">
        <v>114</v>
      </c>
      <c r="J2033" t="s">
        <v>125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>"14:53:22.164"</f>
        <v>14:53:22.164</v>
      </c>
      <c r="T2033" t="str">
        <f>"14:53:21.764"</f>
        <v>14:53:21.764</v>
      </c>
      <c r="U2033" t="str">
        <f t="shared" si="99"/>
        <v>A0F928</v>
      </c>
      <c r="V2033">
        <v>0</v>
      </c>
      <c r="W2033">
        <v>0</v>
      </c>
      <c r="X2033">
        <v>2</v>
      </c>
      <c r="Z2033">
        <v>0</v>
      </c>
      <c r="AA2033">
        <v>9</v>
      </c>
      <c r="AB2033">
        <v>3</v>
      </c>
      <c r="AC2033">
        <v>0</v>
      </c>
      <c r="AD2033">
        <v>10</v>
      </c>
      <c r="AE2033">
        <v>0</v>
      </c>
      <c r="AF2033">
        <v>3</v>
      </c>
      <c r="AG2033">
        <v>2</v>
      </c>
      <c r="AH2033">
        <v>1</v>
      </c>
      <c r="AI2033" t="s">
        <v>1067</v>
      </c>
      <c r="AJ2033">
        <v>35.858688000000001</v>
      </c>
      <c r="AK2033" t="s">
        <v>1068</v>
      </c>
      <c r="AL2033">
        <v>-83.970737</v>
      </c>
      <c r="AM2033">
        <v>25</v>
      </c>
      <c r="AN2033">
        <v>1350</v>
      </c>
      <c r="AO2033" t="s">
        <v>118</v>
      </c>
      <c r="AP2033">
        <v>103</v>
      </c>
      <c r="AQ2033">
        <v>-19</v>
      </c>
      <c r="AR2033">
        <v>-704</v>
      </c>
      <c r="AZ2033">
        <v>300</v>
      </c>
      <c r="BA2033">
        <v>1</v>
      </c>
      <c r="BB2033" t="str">
        <f t="shared" si="101"/>
        <v xml:space="preserve">N162AM  </v>
      </c>
      <c r="BC2033">
        <v>1</v>
      </c>
      <c r="BE2033">
        <v>0</v>
      </c>
      <c r="BF2033">
        <v>0</v>
      </c>
      <c r="BG2033">
        <v>0</v>
      </c>
      <c r="BH2033">
        <v>1625</v>
      </c>
      <c r="BI2033">
        <v>1</v>
      </c>
      <c r="BJ2033">
        <v>1</v>
      </c>
      <c r="BK2033">
        <v>1</v>
      </c>
      <c r="BL2033">
        <v>0</v>
      </c>
      <c r="BO2033">
        <v>0</v>
      </c>
      <c r="BP2033">
        <v>0</v>
      </c>
      <c r="BW2033" t="str">
        <f>"14:53:22.168"</f>
        <v>14:53:22.168</v>
      </c>
      <c r="CJ2033">
        <v>3</v>
      </c>
      <c r="CK2033">
        <v>2</v>
      </c>
      <c r="CL2033">
        <v>0</v>
      </c>
      <c r="CM2033">
        <v>2</v>
      </c>
      <c r="CN2033">
        <v>0</v>
      </c>
      <c r="CO2033">
        <v>6</v>
      </c>
      <c r="CP2033" t="s">
        <v>119</v>
      </c>
      <c r="CQ2033">
        <v>232</v>
      </c>
      <c r="CR2033">
        <v>1</v>
      </c>
      <c r="CW2033">
        <v>15799406</v>
      </c>
      <c r="CY2033">
        <v>1</v>
      </c>
      <c r="CZ2033">
        <v>0</v>
      </c>
      <c r="DA2033">
        <v>1</v>
      </c>
      <c r="DB2033">
        <v>0</v>
      </c>
      <c r="DC2033">
        <v>0</v>
      </c>
      <c r="DD2033">
        <v>1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3">
      <c r="A2034" t="str">
        <f>"12/16/2021 14:53:23.477"</f>
        <v>12/16/2021 14:53:23.477</v>
      </c>
      <c r="C2034" t="str">
        <f t="shared" si="100"/>
        <v>FFDFD3C0</v>
      </c>
      <c r="D2034" t="s">
        <v>124</v>
      </c>
      <c r="E2034">
        <v>10</v>
      </c>
      <c r="F2034">
        <v>1010</v>
      </c>
      <c r="G2034" t="s">
        <v>130</v>
      </c>
      <c r="J2034" t="s">
        <v>125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>"14:53:23.281"</f>
        <v>14:53:23.281</v>
      </c>
      <c r="T2034" t="str">
        <f>"14:53:22.781"</f>
        <v>14:53:22.781</v>
      </c>
      <c r="U2034" t="str">
        <f t="shared" si="99"/>
        <v>A0F928</v>
      </c>
      <c r="V2034">
        <v>0</v>
      </c>
      <c r="W2034">
        <v>0</v>
      </c>
      <c r="X2034">
        <v>2</v>
      </c>
      <c r="Z2034">
        <v>0</v>
      </c>
      <c r="AA2034">
        <v>9</v>
      </c>
      <c r="AB2034">
        <v>3</v>
      </c>
      <c r="AC2034">
        <v>0</v>
      </c>
      <c r="AD2034">
        <v>10</v>
      </c>
      <c r="AE2034">
        <v>0</v>
      </c>
      <c r="AF2034">
        <v>0</v>
      </c>
      <c r="AG2034">
        <v>2</v>
      </c>
      <c r="AH2034">
        <v>1</v>
      </c>
      <c r="AI2034" t="s">
        <v>1054</v>
      </c>
      <c r="AJ2034">
        <v>35.858538000000003</v>
      </c>
      <c r="AK2034" t="s">
        <v>1069</v>
      </c>
      <c r="AL2034">
        <v>-83.970136999999994</v>
      </c>
      <c r="AM2034">
        <v>25</v>
      </c>
      <c r="AN2034">
        <v>1350</v>
      </c>
      <c r="AO2034" t="s">
        <v>118</v>
      </c>
      <c r="AP2034">
        <v>102</v>
      </c>
      <c r="AQ2034">
        <v>-25</v>
      </c>
      <c r="AR2034">
        <v>-768</v>
      </c>
      <c r="AZ2034">
        <v>300</v>
      </c>
      <c r="BA2034">
        <v>1</v>
      </c>
      <c r="BB2034" t="str">
        <f t="shared" si="101"/>
        <v xml:space="preserve">N162AM  </v>
      </c>
      <c r="BC2034">
        <v>1</v>
      </c>
      <c r="BE2034">
        <v>0</v>
      </c>
      <c r="BF2034">
        <v>0</v>
      </c>
      <c r="BG2034">
        <v>0</v>
      </c>
      <c r="BH2034">
        <v>1600</v>
      </c>
      <c r="BI2034">
        <v>1</v>
      </c>
      <c r="BJ2034">
        <v>1</v>
      </c>
      <c r="BK2034">
        <v>1</v>
      </c>
      <c r="BL2034">
        <v>0</v>
      </c>
      <c r="BO2034">
        <v>0</v>
      </c>
      <c r="BP2034">
        <v>0</v>
      </c>
      <c r="BW2034" t="str">
        <f>"14:53:23.285"</f>
        <v>14:53:23.285</v>
      </c>
      <c r="CJ2034">
        <v>2</v>
      </c>
      <c r="CK2034">
        <v>2</v>
      </c>
      <c r="CL2034">
        <v>0</v>
      </c>
      <c r="CM2034">
        <v>2</v>
      </c>
      <c r="CN2034">
        <v>0</v>
      </c>
      <c r="CO2034">
        <v>5</v>
      </c>
      <c r="CP2034" t="s">
        <v>119</v>
      </c>
      <c r="CQ2034">
        <v>232</v>
      </c>
      <c r="CR2034">
        <v>1</v>
      </c>
      <c r="CW2034">
        <v>15801149</v>
      </c>
      <c r="CY2034">
        <v>1</v>
      </c>
      <c r="CZ2034">
        <v>0</v>
      </c>
      <c r="DA2034">
        <v>0</v>
      </c>
      <c r="DB2034">
        <v>0</v>
      </c>
      <c r="DC2034">
        <v>0</v>
      </c>
      <c r="DD2034">
        <v>1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3">
      <c r="A2035" t="str">
        <f>"12/16/2021 14:53:23.492"</f>
        <v>12/16/2021 14:53:23.492</v>
      </c>
      <c r="C2035" t="str">
        <f t="shared" si="100"/>
        <v>FFDFD3C0</v>
      </c>
      <c r="D2035" t="s">
        <v>113</v>
      </c>
      <c r="E2035">
        <v>8</v>
      </c>
      <c r="H2035">
        <v>176</v>
      </c>
      <c r="I2035" t="s">
        <v>114</v>
      </c>
      <c r="J2035" t="s">
        <v>115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>"14:53:23.281"</f>
        <v>14:53:23.281</v>
      </c>
      <c r="T2035" t="str">
        <f>"14:53:22.781"</f>
        <v>14:53:22.781</v>
      </c>
      <c r="U2035" t="str">
        <f t="shared" si="99"/>
        <v>A0F928</v>
      </c>
      <c r="V2035">
        <v>0</v>
      </c>
      <c r="W2035">
        <v>0</v>
      </c>
      <c r="X2035">
        <v>2</v>
      </c>
      <c r="Z2035">
        <v>0</v>
      </c>
      <c r="AA2035">
        <v>9</v>
      </c>
      <c r="AB2035">
        <v>3</v>
      </c>
      <c r="AC2035">
        <v>0</v>
      </c>
      <c r="AD2035">
        <v>10</v>
      </c>
      <c r="AE2035">
        <v>0</v>
      </c>
      <c r="AF2035">
        <v>3</v>
      </c>
      <c r="AG2035">
        <v>2</v>
      </c>
      <c r="AH2035">
        <v>1</v>
      </c>
      <c r="AI2035" t="s">
        <v>1054</v>
      </c>
      <c r="AJ2035">
        <v>35.858538000000003</v>
      </c>
      <c r="AK2035" t="s">
        <v>1069</v>
      </c>
      <c r="AL2035">
        <v>-83.970136999999994</v>
      </c>
      <c r="AM2035">
        <v>25</v>
      </c>
      <c r="AN2035">
        <v>1350</v>
      </c>
      <c r="AO2035" t="s">
        <v>118</v>
      </c>
      <c r="AP2035">
        <v>102</v>
      </c>
      <c r="AQ2035">
        <v>-25</v>
      </c>
      <c r="AR2035">
        <v>-768</v>
      </c>
      <c r="AZ2035">
        <v>300</v>
      </c>
      <c r="BA2035">
        <v>1</v>
      </c>
      <c r="BB2035" t="str">
        <f t="shared" si="101"/>
        <v xml:space="preserve">N162AM  </v>
      </c>
      <c r="BC2035">
        <v>1</v>
      </c>
      <c r="BE2035">
        <v>0</v>
      </c>
      <c r="BF2035">
        <v>0</v>
      </c>
      <c r="BG2035">
        <v>0</v>
      </c>
      <c r="BH2035">
        <v>1600</v>
      </c>
      <c r="BI2035">
        <v>1</v>
      </c>
      <c r="BJ2035">
        <v>1</v>
      </c>
      <c r="BK2035">
        <v>1</v>
      </c>
      <c r="BL2035">
        <v>0</v>
      </c>
      <c r="BO2035">
        <v>0</v>
      </c>
      <c r="BP2035">
        <v>0</v>
      </c>
      <c r="BW2035" t="str">
        <f>"14:53:23.285"</f>
        <v>14:53:23.285</v>
      </c>
      <c r="CJ2035">
        <v>3</v>
      </c>
      <c r="CK2035">
        <v>2</v>
      </c>
      <c r="CL2035">
        <v>0</v>
      </c>
      <c r="CM2035">
        <v>2</v>
      </c>
      <c r="CN2035">
        <v>0</v>
      </c>
      <c r="CO2035">
        <v>5</v>
      </c>
      <c r="CP2035" t="s">
        <v>119</v>
      </c>
      <c r="CQ2035">
        <v>232</v>
      </c>
      <c r="CR2035">
        <v>1</v>
      </c>
      <c r="CW2035">
        <v>15801149</v>
      </c>
      <c r="CY2035">
        <v>1</v>
      </c>
      <c r="CZ2035">
        <v>0</v>
      </c>
      <c r="DA2035">
        <v>1</v>
      </c>
      <c r="DB2035">
        <v>0</v>
      </c>
      <c r="DC2035">
        <v>0</v>
      </c>
      <c r="DD2035">
        <v>1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3">
      <c r="A2036" t="str">
        <f>"12/16/2021 14:53:23.524"</f>
        <v>12/16/2021 14:53:23.524</v>
      </c>
      <c r="C2036" t="str">
        <f t="shared" si="100"/>
        <v>FFDFD3C0</v>
      </c>
      <c r="D2036" t="s">
        <v>133</v>
      </c>
      <c r="E2036">
        <v>44</v>
      </c>
      <c r="H2036">
        <v>131</v>
      </c>
      <c r="I2036" t="s">
        <v>134</v>
      </c>
      <c r="J2036" t="s">
        <v>135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>"14:53:23.281"</f>
        <v>14:53:23.281</v>
      </c>
      <c r="T2036" t="str">
        <f>"14:53:22.781"</f>
        <v>14:53:22.781</v>
      </c>
      <c r="U2036" t="str">
        <f t="shared" si="99"/>
        <v>A0F928</v>
      </c>
      <c r="V2036">
        <v>0</v>
      </c>
      <c r="W2036">
        <v>0</v>
      </c>
      <c r="X2036">
        <v>2</v>
      </c>
      <c r="Z2036">
        <v>0</v>
      </c>
      <c r="AA2036">
        <v>9</v>
      </c>
      <c r="AB2036">
        <v>3</v>
      </c>
      <c r="AC2036">
        <v>0</v>
      </c>
      <c r="AD2036">
        <v>10</v>
      </c>
      <c r="AE2036">
        <v>0</v>
      </c>
      <c r="AF2036">
        <v>3</v>
      </c>
      <c r="AG2036">
        <v>2</v>
      </c>
      <c r="AH2036">
        <v>1</v>
      </c>
      <c r="AI2036" t="s">
        <v>1054</v>
      </c>
      <c r="AJ2036">
        <v>35.858538000000003</v>
      </c>
      <c r="AK2036" t="s">
        <v>1069</v>
      </c>
      <c r="AL2036">
        <v>-83.970136999999994</v>
      </c>
      <c r="AM2036">
        <v>25</v>
      </c>
      <c r="AN2036">
        <v>1350</v>
      </c>
      <c r="AO2036" t="s">
        <v>118</v>
      </c>
      <c r="AP2036">
        <v>102</v>
      </c>
      <c r="AQ2036">
        <v>-25</v>
      </c>
      <c r="AR2036">
        <v>-768</v>
      </c>
      <c r="AZ2036">
        <v>300</v>
      </c>
      <c r="BA2036">
        <v>1</v>
      </c>
      <c r="BB2036" t="str">
        <f t="shared" si="101"/>
        <v xml:space="preserve">N162AM  </v>
      </c>
      <c r="BC2036">
        <v>1</v>
      </c>
      <c r="BE2036">
        <v>0</v>
      </c>
      <c r="BF2036">
        <v>0</v>
      </c>
      <c r="BG2036">
        <v>0</v>
      </c>
      <c r="BH2036">
        <v>1600</v>
      </c>
      <c r="BI2036">
        <v>1</v>
      </c>
      <c r="BJ2036">
        <v>1</v>
      </c>
      <c r="BK2036">
        <v>1</v>
      </c>
      <c r="BL2036">
        <v>0</v>
      </c>
      <c r="BO2036">
        <v>0</v>
      </c>
      <c r="BP2036">
        <v>0</v>
      </c>
      <c r="BW2036" t="str">
        <f>"14:53:23.285"</f>
        <v>14:53:23.285</v>
      </c>
      <c r="CJ2036">
        <v>3</v>
      </c>
      <c r="CK2036">
        <v>2</v>
      </c>
      <c r="CL2036">
        <v>0</v>
      </c>
      <c r="CM2036">
        <v>2</v>
      </c>
      <c r="CN2036">
        <v>0</v>
      </c>
      <c r="CO2036">
        <v>5</v>
      </c>
      <c r="CP2036" t="s">
        <v>119</v>
      </c>
      <c r="CQ2036">
        <v>232</v>
      </c>
      <c r="CR2036">
        <v>1</v>
      </c>
      <c r="CW2036">
        <v>15801149</v>
      </c>
      <c r="CY2036">
        <v>1</v>
      </c>
      <c r="CZ2036">
        <v>0</v>
      </c>
      <c r="DA2036">
        <v>1</v>
      </c>
      <c r="DB2036">
        <v>0</v>
      </c>
      <c r="DC2036">
        <v>0</v>
      </c>
      <c r="DD2036">
        <v>1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3">
      <c r="A2037" t="str">
        <f>"12/16/2021 14:53:23.524"</f>
        <v>12/16/2021 14:53:23.524</v>
      </c>
      <c r="C2037" t="str">
        <f t="shared" si="100"/>
        <v>FFDFD3C0</v>
      </c>
      <c r="D2037" t="s">
        <v>124</v>
      </c>
      <c r="E2037">
        <v>5</v>
      </c>
      <c r="F2037">
        <v>1005</v>
      </c>
      <c r="G2037" t="s">
        <v>114</v>
      </c>
      <c r="J2037" t="s">
        <v>125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"14:53:23.281"</f>
        <v>14:53:23.281</v>
      </c>
      <c r="T2037" t="str">
        <f>"14:53:22.781"</f>
        <v>14:53:22.781</v>
      </c>
      <c r="U2037" t="str">
        <f t="shared" si="99"/>
        <v>A0F928</v>
      </c>
      <c r="V2037">
        <v>0</v>
      </c>
      <c r="W2037">
        <v>0</v>
      </c>
      <c r="X2037">
        <v>2</v>
      </c>
      <c r="Z2037">
        <v>0</v>
      </c>
      <c r="AA2037">
        <v>9</v>
      </c>
      <c r="AB2037">
        <v>3</v>
      </c>
      <c r="AC2037">
        <v>0</v>
      </c>
      <c r="AD2037">
        <v>10</v>
      </c>
      <c r="AE2037">
        <v>0</v>
      </c>
      <c r="AF2037">
        <v>3</v>
      </c>
      <c r="AG2037">
        <v>2</v>
      </c>
      <c r="AH2037">
        <v>1</v>
      </c>
      <c r="AI2037" t="s">
        <v>1054</v>
      </c>
      <c r="AJ2037">
        <v>35.858538000000003</v>
      </c>
      <c r="AK2037" t="s">
        <v>1069</v>
      </c>
      <c r="AL2037">
        <v>-83.970136999999994</v>
      </c>
      <c r="AM2037">
        <v>25</v>
      </c>
      <c r="AN2037">
        <v>1350</v>
      </c>
      <c r="AO2037" t="s">
        <v>118</v>
      </c>
      <c r="AP2037">
        <v>102</v>
      </c>
      <c r="AQ2037">
        <v>-25</v>
      </c>
      <c r="AR2037">
        <v>-768</v>
      </c>
      <c r="AZ2037">
        <v>300</v>
      </c>
      <c r="BA2037">
        <v>1</v>
      </c>
      <c r="BB2037" t="str">
        <f t="shared" si="101"/>
        <v xml:space="preserve">N162AM  </v>
      </c>
      <c r="BC2037">
        <v>1</v>
      </c>
      <c r="BE2037">
        <v>0</v>
      </c>
      <c r="BF2037">
        <v>0</v>
      </c>
      <c r="BG2037">
        <v>0</v>
      </c>
      <c r="BH2037">
        <v>1600</v>
      </c>
      <c r="BI2037">
        <v>1</v>
      </c>
      <c r="BJ2037">
        <v>1</v>
      </c>
      <c r="BK2037">
        <v>1</v>
      </c>
      <c r="BL2037">
        <v>0</v>
      </c>
      <c r="BO2037">
        <v>0</v>
      </c>
      <c r="BP2037">
        <v>0</v>
      </c>
      <c r="BW2037" t="str">
        <f>"14:53:23.285"</f>
        <v>14:53:23.285</v>
      </c>
      <c r="CJ2037">
        <v>3</v>
      </c>
      <c r="CK2037">
        <v>2</v>
      </c>
      <c r="CL2037">
        <v>0</v>
      </c>
      <c r="CM2037">
        <v>2</v>
      </c>
      <c r="CN2037">
        <v>0</v>
      </c>
      <c r="CO2037">
        <v>5</v>
      </c>
      <c r="CP2037" t="s">
        <v>119</v>
      </c>
      <c r="CQ2037">
        <v>232</v>
      </c>
      <c r="CR2037">
        <v>1</v>
      </c>
      <c r="CW2037">
        <v>15801149</v>
      </c>
      <c r="CY2037">
        <v>1</v>
      </c>
      <c r="CZ2037">
        <v>0</v>
      </c>
      <c r="DA2037">
        <v>1</v>
      </c>
      <c r="DB2037">
        <v>0</v>
      </c>
      <c r="DC2037">
        <v>0</v>
      </c>
      <c r="DD2037">
        <v>1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3">
      <c r="A2038" t="str">
        <f>"12/16/2021 14:53:24.524"</f>
        <v>12/16/2021 14:53:24.524</v>
      </c>
      <c r="C2038" t="str">
        <f t="shared" si="100"/>
        <v>FFDFD3C0</v>
      </c>
      <c r="D2038" t="s">
        <v>124</v>
      </c>
      <c r="E2038">
        <v>10</v>
      </c>
      <c r="F2038">
        <v>1010</v>
      </c>
      <c r="G2038" t="s">
        <v>130</v>
      </c>
      <c r="J2038" t="s">
        <v>125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"14:53:24.305"</f>
        <v>14:53:24.305</v>
      </c>
      <c r="T2038" t="str">
        <f>"14:53:23.305"</f>
        <v>14:53:23.305</v>
      </c>
      <c r="U2038" t="str">
        <f t="shared" si="99"/>
        <v>A0F928</v>
      </c>
      <c r="V2038">
        <v>0</v>
      </c>
      <c r="W2038">
        <v>0</v>
      </c>
      <c r="X2038">
        <v>2</v>
      </c>
      <c r="Z2038">
        <v>0</v>
      </c>
      <c r="AA2038">
        <v>9</v>
      </c>
      <c r="AB2038">
        <v>3</v>
      </c>
      <c r="AC2038">
        <v>0</v>
      </c>
      <c r="AD2038">
        <v>10</v>
      </c>
      <c r="AE2038">
        <v>0</v>
      </c>
      <c r="AF2038">
        <v>0</v>
      </c>
      <c r="AG2038">
        <v>2</v>
      </c>
      <c r="AH2038">
        <v>1</v>
      </c>
      <c r="AI2038" t="s">
        <v>1070</v>
      </c>
      <c r="AJ2038">
        <v>35.858387999999998</v>
      </c>
      <c r="AK2038" t="s">
        <v>1071</v>
      </c>
      <c r="AL2038">
        <v>-83.969556999999995</v>
      </c>
      <c r="AM2038">
        <v>25</v>
      </c>
      <c r="AN2038">
        <v>1325</v>
      </c>
      <c r="AO2038" t="s">
        <v>118</v>
      </c>
      <c r="AP2038">
        <v>101</v>
      </c>
      <c r="AQ2038">
        <v>-29</v>
      </c>
      <c r="AR2038">
        <v>-768</v>
      </c>
      <c r="AZ2038">
        <v>300</v>
      </c>
      <c r="BA2038">
        <v>1</v>
      </c>
      <c r="BB2038" t="str">
        <f t="shared" si="101"/>
        <v xml:space="preserve">N162AM  </v>
      </c>
      <c r="BC2038">
        <v>1</v>
      </c>
      <c r="BE2038">
        <v>0</v>
      </c>
      <c r="BF2038">
        <v>0</v>
      </c>
      <c r="BG2038">
        <v>0</v>
      </c>
      <c r="BH2038">
        <v>1625</v>
      </c>
      <c r="BI2038">
        <v>1</v>
      </c>
      <c r="BJ2038">
        <v>1</v>
      </c>
      <c r="BK2038">
        <v>1</v>
      </c>
      <c r="BL2038">
        <v>0</v>
      </c>
      <c r="BO2038">
        <v>0</v>
      </c>
      <c r="BP2038">
        <v>0</v>
      </c>
      <c r="BW2038" t="str">
        <f>"14:53:24.308"</f>
        <v>14:53:24.308</v>
      </c>
      <c r="CJ2038">
        <v>2</v>
      </c>
      <c r="CK2038">
        <v>2</v>
      </c>
      <c r="CL2038">
        <v>0</v>
      </c>
      <c r="CM2038">
        <v>2</v>
      </c>
      <c r="CN2038">
        <v>0</v>
      </c>
      <c r="CO2038">
        <v>5</v>
      </c>
      <c r="CP2038" t="s">
        <v>119</v>
      </c>
      <c r="CQ2038">
        <v>232</v>
      </c>
      <c r="CR2038">
        <v>1</v>
      </c>
      <c r="CW2038">
        <v>15802680</v>
      </c>
      <c r="CY2038">
        <v>1</v>
      </c>
      <c r="CZ2038">
        <v>0</v>
      </c>
      <c r="DA2038">
        <v>0</v>
      </c>
      <c r="DB2038">
        <v>0</v>
      </c>
      <c r="DC2038">
        <v>0</v>
      </c>
      <c r="DD2038">
        <v>1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3">
      <c r="A2039" t="str">
        <f>"12/16/2021 14:53:24.576"</f>
        <v>12/16/2021 14:53:24.576</v>
      </c>
      <c r="C2039" t="str">
        <f t="shared" si="100"/>
        <v>FFDFD3C0</v>
      </c>
      <c r="D2039" t="s">
        <v>113</v>
      </c>
      <c r="E2039">
        <v>8</v>
      </c>
      <c r="H2039">
        <v>176</v>
      </c>
      <c r="I2039" t="s">
        <v>114</v>
      </c>
      <c r="J2039" t="s">
        <v>115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>"14:53:24.305"</f>
        <v>14:53:24.305</v>
      </c>
      <c r="T2039" t="str">
        <f>"14:53:23.305"</f>
        <v>14:53:23.305</v>
      </c>
      <c r="U2039" t="str">
        <f t="shared" si="99"/>
        <v>A0F928</v>
      </c>
      <c r="V2039">
        <v>0</v>
      </c>
      <c r="W2039">
        <v>0</v>
      </c>
      <c r="X2039">
        <v>2</v>
      </c>
      <c r="Z2039">
        <v>0</v>
      </c>
      <c r="AA2039">
        <v>9</v>
      </c>
      <c r="AB2039">
        <v>3</v>
      </c>
      <c r="AC2039">
        <v>0</v>
      </c>
      <c r="AD2039">
        <v>10</v>
      </c>
      <c r="AE2039">
        <v>0</v>
      </c>
      <c r="AF2039">
        <v>3</v>
      </c>
      <c r="AG2039">
        <v>2</v>
      </c>
      <c r="AH2039">
        <v>1</v>
      </c>
      <c r="AI2039" t="s">
        <v>1070</v>
      </c>
      <c r="AJ2039">
        <v>35.858387999999998</v>
      </c>
      <c r="AK2039" t="s">
        <v>1071</v>
      </c>
      <c r="AL2039">
        <v>-83.969556999999995</v>
      </c>
      <c r="AM2039">
        <v>25</v>
      </c>
      <c r="AN2039">
        <v>1325</v>
      </c>
      <c r="AO2039" t="s">
        <v>118</v>
      </c>
      <c r="AP2039">
        <v>101</v>
      </c>
      <c r="AQ2039">
        <v>-29</v>
      </c>
      <c r="AR2039">
        <v>-768</v>
      </c>
      <c r="AZ2039">
        <v>300</v>
      </c>
      <c r="BA2039">
        <v>1</v>
      </c>
      <c r="BB2039" t="str">
        <f t="shared" si="101"/>
        <v xml:space="preserve">N162AM  </v>
      </c>
      <c r="BC2039">
        <v>1</v>
      </c>
      <c r="BE2039">
        <v>0</v>
      </c>
      <c r="BF2039">
        <v>0</v>
      </c>
      <c r="BG2039">
        <v>0</v>
      </c>
      <c r="BH2039">
        <v>1625</v>
      </c>
      <c r="BI2039">
        <v>1</v>
      </c>
      <c r="BJ2039">
        <v>1</v>
      </c>
      <c r="BK2039">
        <v>1</v>
      </c>
      <c r="BL2039">
        <v>0</v>
      </c>
      <c r="BO2039">
        <v>0</v>
      </c>
      <c r="BP2039">
        <v>0</v>
      </c>
      <c r="BW2039" t="str">
        <f>"14:53:24.308"</f>
        <v>14:53:24.308</v>
      </c>
      <c r="CJ2039">
        <v>3</v>
      </c>
      <c r="CK2039">
        <v>2</v>
      </c>
      <c r="CL2039">
        <v>0</v>
      </c>
      <c r="CM2039">
        <v>2</v>
      </c>
      <c r="CN2039">
        <v>0</v>
      </c>
      <c r="CO2039">
        <v>5</v>
      </c>
      <c r="CP2039" t="s">
        <v>119</v>
      </c>
      <c r="CQ2039">
        <v>232</v>
      </c>
      <c r="CR2039">
        <v>1</v>
      </c>
      <c r="CW2039">
        <v>15802680</v>
      </c>
      <c r="CY2039">
        <v>1</v>
      </c>
      <c r="CZ2039">
        <v>0</v>
      </c>
      <c r="DA2039">
        <v>1</v>
      </c>
      <c r="DB2039">
        <v>0</v>
      </c>
      <c r="DC2039">
        <v>0</v>
      </c>
      <c r="DD2039">
        <v>1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3">
      <c r="A2040" t="str">
        <f>"12/16/2021 14:53:24.576"</f>
        <v>12/16/2021 14:53:24.576</v>
      </c>
      <c r="C2040" t="str">
        <f t="shared" si="100"/>
        <v>FFDFD3C0</v>
      </c>
      <c r="D2040" t="s">
        <v>124</v>
      </c>
      <c r="E2040">
        <v>5</v>
      </c>
      <c r="F2040">
        <v>1005</v>
      </c>
      <c r="G2040" t="s">
        <v>114</v>
      </c>
      <c r="J2040" t="s">
        <v>125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>"14:53:24.305"</f>
        <v>14:53:24.305</v>
      </c>
      <c r="T2040" t="str">
        <f>"14:53:23.305"</f>
        <v>14:53:23.305</v>
      </c>
      <c r="U2040" t="str">
        <f t="shared" si="99"/>
        <v>A0F928</v>
      </c>
      <c r="V2040">
        <v>0</v>
      </c>
      <c r="W2040">
        <v>0</v>
      </c>
      <c r="X2040">
        <v>2</v>
      </c>
      <c r="Z2040">
        <v>0</v>
      </c>
      <c r="AA2040">
        <v>9</v>
      </c>
      <c r="AB2040">
        <v>3</v>
      </c>
      <c r="AC2040">
        <v>0</v>
      </c>
      <c r="AD2040">
        <v>10</v>
      </c>
      <c r="AE2040">
        <v>0</v>
      </c>
      <c r="AF2040">
        <v>3</v>
      </c>
      <c r="AG2040">
        <v>2</v>
      </c>
      <c r="AH2040">
        <v>1</v>
      </c>
      <c r="AI2040" t="s">
        <v>1070</v>
      </c>
      <c r="AJ2040">
        <v>35.858387999999998</v>
      </c>
      <c r="AK2040" t="s">
        <v>1071</v>
      </c>
      <c r="AL2040">
        <v>-83.969556999999995</v>
      </c>
      <c r="AM2040">
        <v>25</v>
      </c>
      <c r="AN2040">
        <v>1325</v>
      </c>
      <c r="AO2040" t="s">
        <v>118</v>
      </c>
      <c r="AP2040">
        <v>101</v>
      </c>
      <c r="AQ2040">
        <v>-29</v>
      </c>
      <c r="AR2040">
        <v>-768</v>
      </c>
      <c r="AZ2040">
        <v>300</v>
      </c>
      <c r="BA2040">
        <v>1</v>
      </c>
      <c r="BB2040" t="str">
        <f t="shared" si="101"/>
        <v xml:space="preserve">N162AM  </v>
      </c>
      <c r="BC2040">
        <v>1</v>
      </c>
      <c r="BE2040">
        <v>0</v>
      </c>
      <c r="BF2040">
        <v>0</v>
      </c>
      <c r="BG2040">
        <v>0</v>
      </c>
      <c r="BH2040">
        <v>1625</v>
      </c>
      <c r="BI2040">
        <v>1</v>
      </c>
      <c r="BJ2040">
        <v>1</v>
      </c>
      <c r="BK2040">
        <v>1</v>
      </c>
      <c r="BL2040">
        <v>0</v>
      </c>
      <c r="BO2040">
        <v>0</v>
      </c>
      <c r="BP2040">
        <v>0</v>
      </c>
      <c r="BW2040" t="str">
        <f>"14:53:24.308"</f>
        <v>14:53:24.308</v>
      </c>
      <c r="CJ2040">
        <v>3</v>
      </c>
      <c r="CK2040">
        <v>2</v>
      </c>
      <c r="CL2040">
        <v>0</v>
      </c>
      <c r="CM2040">
        <v>2</v>
      </c>
      <c r="CN2040">
        <v>0</v>
      </c>
      <c r="CO2040">
        <v>5</v>
      </c>
      <c r="CP2040" t="s">
        <v>119</v>
      </c>
      <c r="CQ2040">
        <v>232</v>
      </c>
      <c r="CR2040">
        <v>1</v>
      </c>
      <c r="CW2040">
        <v>15802680</v>
      </c>
      <c r="CY2040">
        <v>1</v>
      </c>
      <c r="CZ2040">
        <v>0</v>
      </c>
      <c r="DA2040">
        <v>1</v>
      </c>
      <c r="DB2040">
        <v>0</v>
      </c>
      <c r="DC2040">
        <v>0</v>
      </c>
      <c r="DD2040">
        <v>1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3">
      <c r="A2041" t="str">
        <f>"12/16/2021 14:53:24.576"</f>
        <v>12/16/2021 14:53:24.576</v>
      </c>
      <c r="C2041" t="str">
        <f t="shared" si="100"/>
        <v>FFDFD3C0</v>
      </c>
      <c r="D2041" t="s">
        <v>133</v>
      </c>
      <c r="E2041">
        <v>44</v>
      </c>
      <c r="H2041">
        <v>131</v>
      </c>
      <c r="I2041" t="s">
        <v>134</v>
      </c>
      <c r="J2041" t="s">
        <v>135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>"14:53:24.305"</f>
        <v>14:53:24.305</v>
      </c>
      <c r="T2041" t="str">
        <f>"14:53:23.305"</f>
        <v>14:53:23.305</v>
      </c>
      <c r="U2041" t="str">
        <f t="shared" si="99"/>
        <v>A0F928</v>
      </c>
      <c r="V2041">
        <v>0</v>
      </c>
      <c r="W2041">
        <v>0</v>
      </c>
      <c r="X2041">
        <v>2</v>
      </c>
      <c r="Z2041">
        <v>0</v>
      </c>
      <c r="AA2041">
        <v>9</v>
      </c>
      <c r="AB2041">
        <v>3</v>
      </c>
      <c r="AC2041">
        <v>0</v>
      </c>
      <c r="AD2041">
        <v>10</v>
      </c>
      <c r="AE2041">
        <v>0</v>
      </c>
      <c r="AF2041">
        <v>3</v>
      </c>
      <c r="AG2041">
        <v>2</v>
      </c>
      <c r="AH2041">
        <v>1</v>
      </c>
      <c r="AI2041" t="s">
        <v>1070</v>
      </c>
      <c r="AJ2041">
        <v>35.858387999999998</v>
      </c>
      <c r="AK2041" t="s">
        <v>1071</v>
      </c>
      <c r="AL2041">
        <v>-83.969556999999995</v>
      </c>
      <c r="AM2041">
        <v>25</v>
      </c>
      <c r="AN2041">
        <v>1325</v>
      </c>
      <c r="AO2041" t="s">
        <v>118</v>
      </c>
      <c r="AP2041">
        <v>101</v>
      </c>
      <c r="AQ2041">
        <v>-29</v>
      </c>
      <c r="AR2041">
        <v>-768</v>
      </c>
      <c r="AZ2041">
        <v>300</v>
      </c>
      <c r="BA2041">
        <v>1</v>
      </c>
      <c r="BB2041" t="str">
        <f t="shared" si="101"/>
        <v xml:space="preserve">N162AM  </v>
      </c>
      <c r="BC2041">
        <v>1</v>
      </c>
      <c r="BE2041">
        <v>0</v>
      </c>
      <c r="BF2041">
        <v>0</v>
      </c>
      <c r="BG2041">
        <v>0</v>
      </c>
      <c r="BH2041">
        <v>1625</v>
      </c>
      <c r="BI2041">
        <v>1</v>
      </c>
      <c r="BJ2041">
        <v>1</v>
      </c>
      <c r="BK2041">
        <v>1</v>
      </c>
      <c r="BL2041">
        <v>0</v>
      </c>
      <c r="BO2041">
        <v>0</v>
      </c>
      <c r="BP2041">
        <v>0</v>
      </c>
      <c r="BW2041" t="str">
        <f>"14:53:24.308"</f>
        <v>14:53:24.308</v>
      </c>
      <c r="CJ2041">
        <v>3</v>
      </c>
      <c r="CK2041">
        <v>2</v>
      </c>
      <c r="CL2041">
        <v>0</v>
      </c>
      <c r="CM2041">
        <v>2</v>
      </c>
      <c r="CN2041">
        <v>0</v>
      </c>
      <c r="CO2041">
        <v>5</v>
      </c>
      <c r="CP2041" t="s">
        <v>119</v>
      </c>
      <c r="CQ2041">
        <v>232</v>
      </c>
      <c r="CR2041">
        <v>1</v>
      </c>
      <c r="CW2041">
        <v>15802680</v>
      </c>
      <c r="CY2041">
        <v>1</v>
      </c>
      <c r="CZ2041">
        <v>0</v>
      </c>
      <c r="DA2041">
        <v>1</v>
      </c>
      <c r="DB2041">
        <v>0</v>
      </c>
      <c r="DC2041">
        <v>0</v>
      </c>
      <c r="DD2041">
        <v>1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3">
      <c r="A2042" t="str">
        <f>"12/16/2021 14:53:25.407"</f>
        <v>12/16/2021 14:53:25.407</v>
      </c>
      <c r="C2042" t="str">
        <f t="shared" si="100"/>
        <v>FFDFD3C0</v>
      </c>
      <c r="D2042" t="s">
        <v>113</v>
      </c>
      <c r="E2042">
        <v>8</v>
      </c>
      <c r="H2042">
        <v>176</v>
      </c>
      <c r="I2042" t="s">
        <v>114</v>
      </c>
      <c r="J2042" t="s">
        <v>115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>"14:53:25.234"</f>
        <v>14:53:25.234</v>
      </c>
      <c r="T2042" t="str">
        <f>"14:53:24.834"</f>
        <v>14:53:24.834</v>
      </c>
      <c r="U2042" t="str">
        <f t="shared" si="99"/>
        <v>A0F928</v>
      </c>
      <c r="V2042">
        <v>0</v>
      </c>
      <c r="W2042">
        <v>0</v>
      </c>
      <c r="X2042">
        <v>2</v>
      </c>
      <c r="Z2042">
        <v>0</v>
      </c>
      <c r="AA2042">
        <v>9</v>
      </c>
      <c r="AB2042">
        <v>3</v>
      </c>
      <c r="AC2042">
        <v>0</v>
      </c>
      <c r="AD2042">
        <v>10</v>
      </c>
      <c r="AE2042">
        <v>0</v>
      </c>
      <c r="AF2042">
        <v>3</v>
      </c>
      <c r="AG2042">
        <v>2</v>
      </c>
      <c r="AH2042">
        <v>1</v>
      </c>
      <c r="AI2042" t="s">
        <v>1072</v>
      </c>
      <c r="AJ2042">
        <v>35.858238</v>
      </c>
      <c r="AK2042" t="s">
        <v>1073</v>
      </c>
      <c r="AL2042">
        <v>-83.969020999999998</v>
      </c>
      <c r="AM2042">
        <v>25</v>
      </c>
      <c r="AN2042">
        <v>1325</v>
      </c>
      <c r="AO2042" t="s">
        <v>118</v>
      </c>
      <c r="AP2042">
        <v>99</v>
      </c>
      <c r="AQ2042">
        <v>-38</v>
      </c>
      <c r="AR2042">
        <v>-704</v>
      </c>
      <c r="AZ2042">
        <v>300</v>
      </c>
      <c r="BA2042">
        <v>1</v>
      </c>
      <c r="BB2042" t="str">
        <f t="shared" si="101"/>
        <v xml:space="preserve">N162AM  </v>
      </c>
      <c r="BC2042">
        <v>1</v>
      </c>
      <c r="BE2042">
        <v>0</v>
      </c>
      <c r="BF2042">
        <v>0</v>
      </c>
      <c r="BG2042">
        <v>0</v>
      </c>
      <c r="BH2042">
        <v>1575</v>
      </c>
      <c r="BI2042">
        <v>1</v>
      </c>
      <c r="BJ2042">
        <v>1</v>
      </c>
      <c r="BK2042">
        <v>1</v>
      </c>
      <c r="BL2042">
        <v>0</v>
      </c>
      <c r="BO2042">
        <v>0</v>
      </c>
      <c r="BP2042">
        <v>0</v>
      </c>
      <c r="BW2042" t="str">
        <f>"14:53:25.235"</f>
        <v>14:53:25.235</v>
      </c>
      <c r="CJ2042">
        <v>3</v>
      </c>
      <c r="CK2042">
        <v>2</v>
      </c>
      <c r="CL2042">
        <v>0</v>
      </c>
      <c r="CM2042">
        <v>2</v>
      </c>
      <c r="CN2042">
        <v>0</v>
      </c>
      <c r="CO2042">
        <v>6</v>
      </c>
      <c r="CP2042" t="s">
        <v>119</v>
      </c>
      <c r="CQ2042">
        <v>232</v>
      </c>
      <c r="CR2042">
        <v>2</v>
      </c>
      <c r="CW2042">
        <v>7021080</v>
      </c>
      <c r="CY2042">
        <v>1</v>
      </c>
      <c r="CZ2042">
        <v>0</v>
      </c>
      <c r="DA2042">
        <v>0</v>
      </c>
      <c r="DB2042">
        <v>0</v>
      </c>
      <c r="DC2042">
        <v>0</v>
      </c>
      <c r="DD2042">
        <v>1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3">
      <c r="A2043" t="str">
        <f>"12/16/2021 14:53:25.423"</f>
        <v>12/16/2021 14:53:25.423</v>
      </c>
      <c r="C2043" t="str">
        <f t="shared" si="100"/>
        <v>FFDFD3C0</v>
      </c>
      <c r="D2043" t="s">
        <v>124</v>
      </c>
      <c r="E2043">
        <v>5</v>
      </c>
      <c r="F2043">
        <v>1005</v>
      </c>
      <c r="G2043" t="s">
        <v>114</v>
      </c>
      <c r="J2043" t="s">
        <v>125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>"14:53:25.234"</f>
        <v>14:53:25.234</v>
      </c>
      <c r="T2043" t="str">
        <f>"14:53:24.834"</f>
        <v>14:53:24.834</v>
      </c>
      <c r="U2043" t="str">
        <f t="shared" si="99"/>
        <v>A0F928</v>
      </c>
      <c r="V2043">
        <v>0</v>
      </c>
      <c r="W2043">
        <v>0</v>
      </c>
      <c r="X2043">
        <v>2</v>
      </c>
      <c r="Z2043">
        <v>0</v>
      </c>
      <c r="AA2043">
        <v>9</v>
      </c>
      <c r="AB2043">
        <v>3</v>
      </c>
      <c r="AC2043">
        <v>0</v>
      </c>
      <c r="AD2043">
        <v>10</v>
      </c>
      <c r="AE2043">
        <v>0</v>
      </c>
      <c r="AF2043">
        <v>3</v>
      </c>
      <c r="AG2043">
        <v>2</v>
      </c>
      <c r="AH2043">
        <v>1</v>
      </c>
      <c r="AI2043" t="s">
        <v>1072</v>
      </c>
      <c r="AJ2043">
        <v>35.858238</v>
      </c>
      <c r="AK2043" t="s">
        <v>1073</v>
      </c>
      <c r="AL2043">
        <v>-83.969020999999998</v>
      </c>
      <c r="AM2043">
        <v>25</v>
      </c>
      <c r="AN2043">
        <v>1325</v>
      </c>
      <c r="AO2043" t="s">
        <v>118</v>
      </c>
      <c r="AP2043">
        <v>99</v>
      </c>
      <c r="AQ2043">
        <v>-38</v>
      </c>
      <c r="AR2043">
        <v>-704</v>
      </c>
      <c r="AZ2043">
        <v>300</v>
      </c>
      <c r="BA2043">
        <v>1</v>
      </c>
      <c r="BB2043" t="str">
        <f t="shared" si="101"/>
        <v xml:space="preserve">N162AM  </v>
      </c>
      <c r="BC2043">
        <v>1</v>
      </c>
      <c r="BE2043">
        <v>0</v>
      </c>
      <c r="BF2043">
        <v>0</v>
      </c>
      <c r="BG2043">
        <v>0</v>
      </c>
      <c r="BH2043">
        <v>1575</v>
      </c>
      <c r="BI2043">
        <v>1</v>
      </c>
      <c r="BJ2043">
        <v>1</v>
      </c>
      <c r="BK2043">
        <v>1</v>
      </c>
      <c r="BL2043">
        <v>0</v>
      </c>
      <c r="BO2043">
        <v>0</v>
      </c>
      <c r="BP2043">
        <v>0</v>
      </c>
      <c r="BW2043" t="str">
        <f>"14:53:25.235"</f>
        <v>14:53:25.235</v>
      </c>
      <c r="CJ2043">
        <v>3</v>
      </c>
      <c r="CK2043">
        <v>2</v>
      </c>
      <c r="CL2043">
        <v>0</v>
      </c>
      <c r="CM2043">
        <v>2</v>
      </c>
      <c r="CN2043">
        <v>0</v>
      </c>
      <c r="CO2043">
        <v>6</v>
      </c>
      <c r="CP2043" t="s">
        <v>119</v>
      </c>
      <c r="CQ2043">
        <v>232</v>
      </c>
      <c r="CR2043">
        <v>2</v>
      </c>
      <c r="CW2043">
        <v>7021080</v>
      </c>
      <c r="CY2043">
        <v>1</v>
      </c>
      <c r="CZ2043">
        <v>0</v>
      </c>
      <c r="DA2043">
        <v>1</v>
      </c>
      <c r="DB2043">
        <v>0</v>
      </c>
      <c r="DC2043">
        <v>0</v>
      </c>
      <c r="DD2043">
        <v>1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3">
      <c r="A2044" t="str">
        <f>"12/16/2021 14:53:25.423"</f>
        <v>12/16/2021 14:53:25.423</v>
      </c>
      <c r="C2044" t="str">
        <f t="shared" si="100"/>
        <v>FFDFD3C0</v>
      </c>
      <c r="D2044" t="s">
        <v>133</v>
      </c>
      <c r="E2044">
        <v>44</v>
      </c>
      <c r="H2044">
        <v>131</v>
      </c>
      <c r="I2044" t="s">
        <v>134</v>
      </c>
      <c r="J2044" t="s">
        <v>135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>"14:53:25.234"</f>
        <v>14:53:25.234</v>
      </c>
      <c r="T2044" t="str">
        <f>"14:53:24.834"</f>
        <v>14:53:24.834</v>
      </c>
      <c r="U2044" t="str">
        <f t="shared" si="99"/>
        <v>A0F928</v>
      </c>
      <c r="V2044">
        <v>0</v>
      </c>
      <c r="W2044">
        <v>0</v>
      </c>
      <c r="X2044">
        <v>2</v>
      </c>
      <c r="Z2044">
        <v>0</v>
      </c>
      <c r="AA2044">
        <v>9</v>
      </c>
      <c r="AB2044">
        <v>3</v>
      </c>
      <c r="AC2044">
        <v>0</v>
      </c>
      <c r="AD2044">
        <v>10</v>
      </c>
      <c r="AE2044">
        <v>0</v>
      </c>
      <c r="AF2044">
        <v>3</v>
      </c>
      <c r="AG2044">
        <v>2</v>
      </c>
      <c r="AH2044">
        <v>1</v>
      </c>
      <c r="AI2044" t="s">
        <v>1072</v>
      </c>
      <c r="AJ2044">
        <v>35.858238</v>
      </c>
      <c r="AK2044" t="s">
        <v>1073</v>
      </c>
      <c r="AL2044">
        <v>-83.969020999999998</v>
      </c>
      <c r="AM2044">
        <v>25</v>
      </c>
      <c r="AN2044">
        <v>1325</v>
      </c>
      <c r="AO2044" t="s">
        <v>118</v>
      </c>
      <c r="AP2044">
        <v>99</v>
      </c>
      <c r="AQ2044">
        <v>-38</v>
      </c>
      <c r="AR2044">
        <v>-704</v>
      </c>
      <c r="AZ2044">
        <v>300</v>
      </c>
      <c r="BA2044">
        <v>1</v>
      </c>
      <c r="BB2044" t="str">
        <f t="shared" si="101"/>
        <v xml:space="preserve">N162AM  </v>
      </c>
      <c r="BC2044">
        <v>1</v>
      </c>
      <c r="BE2044">
        <v>0</v>
      </c>
      <c r="BF2044">
        <v>0</v>
      </c>
      <c r="BG2044">
        <v>0</v>
      </c>
      <c r="BH2044">
        <v>1575</v>
      </c>
      <c r="BI2044">
        <v>1</v>
      </c>
      <c r="BJ2044">
        <v>1</v>
      </c>
      <c r="BK2044">
        <v>1</v>
      </c>
      <c r="BL2044">
        <v>0</v>
      </c>
      <c r="BO2044">
        <v>0</v>
      </c>
      <c r="BP2044">
        <v>0</v>
      </c>
      <c r="BW2044" t="str">
        <f>"14:53:25.235"</f>
        <v>14:53:25.235</v>
      </c>
      <c r="CJ2044">
        <v>3</v>
      </c>
      <c r="CK2044">
        <v>2</v>
      </c>
      <c r="CL2044">
        <v>0</v>
      </c>
      <c r="CM2044">
        <v>2</v>
      </c>
      <c r="CN2044">
        <v>0</v>
      </c>
      <c r="CO2044">
        <v>6</v>
      </c>
      <c r="CP2044" t="s">
        <v>119</v>
      </c>
      <c r="CQ2044">
        <v>232</v>
      </c>
      <c r="CR2044">
        <v>2</v>
      </c>
      <c r="CW2044">
        <v>7021080</v>
      </c>
      <c r="CY2044">
        <v>1</v>
      </c>
      <c r="CZ2044">
        <v>0</v>
      </c>
      <c r="DA2044">
        <v>1</v>
      </c>
      <c r="DB2044">
        <v>0</v>
      </c>
      <c r="DC2044">
        <v>0</v>
      </c>
      <c r="DD2044">
        <v>1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3">
      <c r="A2045" t="str">
        <f>"12/16/2021 14:53:25.438"</f>
        <v>12/16/2021 14:53:25.438</v>
      </c>
      <c r="C2045" t="str">
        <f t="shared" si="100"/>
        <v>FFDFD3C0</v>
      </c>
      <c r="D2045" t="s">
        <v>124</v>
      </c>
      <c r="E2045">
        <v>10</v>
      </c>
      <c r="F2045">
        <v>1010</v>
      </c>
      <c r="G2045" t="s">
        <v>130</v>
      </c>
      <c r="J2045" t="s">
        <v>125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>"14:53:25.234"</f>
        <v>14:53:25.234</v>
      </c>
      <c r="T2045" t="str">
        <f>"14:53:24.834"</f>
        <v>14:53:24.834</v>
      </c>
      <c r="U2045" t="str">
        <f t="shared" si="99"/>
        <v>A0F928</v>
      </c>
      <c r="V2045">
        <v>0</v>
      </c>
      <c r="W2045">
        <v>0</v>
      </c>
      <c r="X2045">
        <v>2</v>
      </c>
      <c r="Z2045">
        <v>0</v>
      </c>
      <c r="AA2045">
        <v>9</v>
      </c>
      <c r="AB2045">
        <v>3</v>
      </c>
      <c r="AC2045">
        <v>0</v>
      </c>
      <c r="AD2045">
        <v>10</v>
      </c>
      <c r="AE2045">
        <v>0</v>
      </c>
      <c r="AF2045">
        <v>0</v>
      </c>
      <c r="AG2045">
        <v>2</v>
      </c>
      <c r="AH2045">
        <v>1</v>
      </c>
      <c r="AI2045" t="s">
        <v>1072</v>
      </c>
      <c r="AJ2045">
        <v>35.858238</v>
      </c>
      <c r="AK2045" t="s">
        <v>1073</v>
      </c>
      <c r="AL2045">
        <v>-83.969020999999998</v>
      </c>
      <c r="AM2045">
        <v>25</v>
      </c>
      <c r="AN2045">
        <v>1325</v>
      </c>
      <c r="AO2045" t="s">
        <v>118</v>
      </c>
      <c r="AP2045">
        <v>99</v>
      </c>
      <c r="AQ2045">
        <v>-38</v>
      </c>
      <c r="AR2045">
        <v>-704</v>
      </c>
      <c r="AZ2045">
        <v>300</v>
      </c>
      <c r="BA2045">
        <v>1</v>
      </c>
      <c r="BB2045" t="str">
        <f t="shared" si="101"/>
        <v xml:space="preserve">N162AM  </v>
      </c>
      <c r="BC2045">
        <v>1</v>
      </c>
      <c r="BE2045">
        <v>0</v>
      </c>
      <c r="BF2045">
        <v>0</v>
      </c>
      <c r="BG2045">
        <v>0</v>
      </c>
      <c r="BH2045">
        <v>1575</v>
      </c>
      <c r="BI2045">
        <v>1</v>
      </c>
      <c r="BJ2045">
        <v>1</v>
      </c>
      <c r="BK2045">
        <v>1</v>
      </c>
      <c r="BL2045">
        <v>0</v>
      </c>
      <c r="BO2045">
        <v>0</v>
      </c>
      <c r="BP2045">
        <v>0</v>
      </c>
      <c r="BW2045" t="str">
        <f>"14:53:25.235"</f>
        <v>14:53:25.235</v>
      </c>
      <c r="CJ2045">
        <v>2</v>
      </c>
      <c r="CK2045">
        <v>2</v>
      </c>
      <c r="CL2045">
        <v>0</v>
      </c>
      <c r="CM2045">
        <v>2</v>
      </c>
      <c r="CN2045">
        <v>0</v>
      </c>
      <c r="CO2045">
        <v>6</v>
      </c>
      <c r="CP2045" t="s">
        <v>119</v>
      </c>
      <c r="CQ2045">
        <v>232</v>
      </c>
      <c r="CR2045">
        <v>2</v>
      </c>
      <c r="CW2045">
        <v>7021080</v>
      </c>
      <c r="CY2045">
        <v>1</v>
      </c>
      <c r="CZ2045">
        <v>0</v>
      </c>
      <c r="DA2045">
        <v>1</v>
      </c>
      <c r="DB2045">
        <v>0</v>
      </c>
      <c r="DC2045">
        <v>0</v>
      </c>
      <c r="DD2045">
        <v>1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3">
      <c r="A2046" t="str">
        <f>"12/16/2021 14:53:26.393"</f>
        <v>12/16/2021 14:53:26.393</v>
      </c>
      <c r="C2046" t="str">
        <f t="shared" si="100"/>
        <v>FFDFD3C0</v>
      </c>
      <c r="D2046" t="s">
        <v>124</v>
      </c>
      <c r="E2046">
        <v>5</v>
      </c>
      <c r="F2046">
        <v>1005</v>
      </c>
      <c r="G2046" t="s">
        <v>114</v>
      </c>
      <c r="J2046" t="s">
        <v>125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>"14:53:26.148"</f>
        <v>14:53:26.148</v>
      </c>
      <c r="T2046" t="str">
        <f>"14:53:25.848"</f>
        <v>14:53:25.848</v>
      </c>
      <c r="U2046" t="str">
        <f t="shared" si="99"/>
        <v>A0F928</v>
      </c>
      <c r="V2046">
        <v>0</v>
      </c>
      <c r="W2046">
        <v>0</v>
      </c>
      <c r="X2046">
        <v>2</v>
      </c>
      <c r="Z2046">
        <v>0</v>
      </c>
      <c r="AA2046">
        <v>9</v>
      </c>
      <c r="AB2046">
        <v>3</v>
      </c>
      <c r="AC2046">
        <v>0</v>
      </c>
      <c r="AD2046">
        <v>10</v>
      </c>
      <c r="AE2046">
        <v>0</v>
      </c>
      <c r="AF2046">
        <v>3</v>
      </c>
      <c r="AG2046">
        <v>2</v>
      </c>
      <c r="AH2046">
        <v>1</v>
      </c>
      <c r="AI2046" t="s">
        <v>1074</v>
      </c>
      <c r="AJ2046">
        <v>35.858023000000003</v>
      </c>
      <c r="AK2046" t="s">
        <v>1075</v>
      </c>
      <c r="AL2046">
        <v>-83.96857</v>
      </c>
      <c r="AM2046">
        <v>25</v>
      </c>
      <c r="AN2046">
        <v>1300</v>
      </c>
      <c r="AO2046" t="s">
        <v>118</v>
      </c>
      <c r="AP2046">
        <v>96</v>
      </c>
      <c r="AQ2046">
        <v>-44</v>
      </c>
      <c r="AR2046">
        <v>-640</v>
      </c>
      <c r="AZ2046">
        <v>300</v>
      </c>
      <c r="BA2046">
        <v>1</v>
      </c>
      <c r="BB2046" t="str">
        <f t="shared" si="101"/>
        <v xml:space="preserve">N162AM  </v>
      </c>
      <c r="BC2046">
        <v>1</v>
      </c>
      <c r="BE2046">
        <v>0</v>
      </c>
      <c r="BF2046">
        <v>0</v>
      </c>
      <c r="BG2046">
        <v>0</v>
      </c>
      <c r="BH2046">
        <v>1575</v>
      </c>
      <c r="BI2046">
        <v>1</v>
      </c>
      <c r="BJ2046">
        <v>1</v>
      </c>
      <c r="BK2046">
        <v>1</v>
      </c>
      <c r="BL2046">
        <v>0</v>
      </c>
      <c r="BO2046">
        <v>0</v>
      </c>
      <c r="BP2046">
        <v>0</v>
      </c>
      <c r="BW2046" t="str">
        <f>"14:53:26.153"</f>
        <v>14:53:26.153</v>
      </c>
      <c r="CJ2046">
        <v>3</v>
      </c>
      <c r="CK2046">
        <v>2</v>
      </c>
      <c r="CL2046">
        <v>0</v>
      </c>
      <c r="CM2046">
        <v>2</v>
      </c>
      <c r="CN2046">
        <v>0</v>
      </c>
      <c r="CO2046">
        <v>6</v>
      </c>
      <c r="CP2046" t="s">
        <v>119</v>
      </c>
      <c r="CQ2046">
        <v>232</v>
      </c>
      <c r="CR2046">
        <v>2</v>
      </c>
      <c r="CW2046">
        <v>7022450</v>
      </c>
      <c r="CY2046">
        <v>1</v>
      </c>
      <c r="CZ2046">
        <v>0</v>
      </c>
      <c r="DA2046">
        <v>0</v>
      </c>
      <c r="DB2046">
        <v>0</v>
      </c>
      <c r="DC2046">
        <v>0</v>
      </c>
      <c r="DD2046">
        <v>1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3">
      <c r="A2047" t="str">
        <f>"12/16/2021 14:53:26.393"</f>
        <v>12/16/2021 14:53:26.393</v>
      </c>
      <c r="C2047" t="str">
        <f t="shared" si="100"/>
        <v>FFDFD3C0</v>
      </c>
      <c r="D2047" t="s">
        <v>113</v>
      </c>
      <c r="E2047">
        <v>8</v>
      </c>
      <c r="H2047">
        <v>176</v>
      </c>
      <c r="I2047" t="s">
        <v>114</v>
      </c>
      <c r="J2047" t="s">
        <v>115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>"14:53:26.148"</f>
        <v>14:53:26.148</v>
      </c>
      <c r="T2047" t="str">
        <f>"14:53:25.848"</f>
        <v>14:53:25.848</v>
      </c>
      <c r="U2047" t="str">
        <f t="shared" si="99"/>
        <v>A0F928</v>
      </c>
      <c r="V2047">
        <v>0</v>
      </c>
      <c r="W2047">
        <v>0</v>
      </c>
      <c r="X2047">
        <v>2</v>
      </c>
      <c r="Z2047">
        <v>0</v>
      </c>
      <c r="AA2047">
        <v>9</v>
      </c>
      <c r="AB2047">
        <v>3</v>
      </c>
      <c r="AC2047">
        <v>0</v>
      </c>
      <c r="AD2047">
        <v>10</v>
      </c>
      <c r="AE2047">
        <v>0</v>
      </c>
      <c r="AF2047">
        <v>3</v>
      </c>
      <c r="AG2047">
        <v>2</v>
      </c>
      <c r="AH2047">
        <v>1</v>
      </c>
      <c r="AI2047" t="s">
        <v>1074</v>
      </c>
      <c r="AJ2047">
        <v>35.858023000000003</v>
      </c>
      <c r="AK2047" t="s">
        <v>1075</v>
      </c>
      <c r="AL2047">
        <v>-83.96857</v>
      </c>
      <c r="AM2047">
        <v>25</v>
      </c>
      <c r="AN2047">
        <v>1300</v>
      </c>
      <c r="AO2047" t="s">
        <v>118</v>
      </c>
      <c r="AP2047">
        <v>96</v>
      </c>
      <c r="AQ2047">
        <v>-44</v>
      </c>
      <c r="AR2047">
        <v>-640</v>
      </c>
      <c r="AZ2047">
        <v>300</v>
      </c>
      <c r="BA2047">
        <v>1</v>
      </c>
      <c r="BB2047" t="str">
        <f t="shared" si="101"/>
        <v xml:space="preserve">N162AM  </v>
      </c>
      <c r="BC2047">
        <v>1</v>
      </c>
      <c r="BE2047">
        <v>0</v>
      </c>
      <c r="BF2047">
        <v>0</v>
      </c>
      <c r="BG2047">
        <v>0</v>
      </c>
      <c r="BH2047">
        <v>1575</v>
      </c>
      <c r="BI2047">
        <v>1</v>
      </c>
      <c r="BJ2047">
        <v>1</v>
      </c>
      <c r="BK2047">
        <v>1</v>
      </c>
      <c r="BL2047">
        <v>0</v>
      </c>
      <c r="BO2047">
        <v>0</v>
      </c>
      <c r="BP2047">
        <v>0</v>
      </c>
      <c r="BW2047" t="str">
        <f>"14:53:26.153"</f>
        <v>14:53:26.153</v>
      </c>
      <c r="CJ2047">
        <v>3</v>
      </c>
      <c r="CK2047">
        <v>2</v>
      </c>
      <c r="CL2047">
        <v>0</v>
      </c>
      <c r="CM2047">
        <v>2</v>
      </c>
      <c r="CN2047">
        <v>0</v>
      </c>
      <c r="CO2047">
        <v>6</v>
      </c>
      <c r="CP2047" t="s">
        <v>119</v>
      </c>
      <c r="CQ2047">
        <v>232</v>
      </c>
      <c r="CR2047">
        <v>2</v>
      </c>
      <c r="CW2047">
        <v>7022450</v>
      </c>
      <c r="CY2047">
        <v>1</v>
      </c>
      <c r="CZ2047">
        <v>0</v>
      </c>
      <c r="DA2047">
        <v>1</v>
      </c>
      <c r="DB2047">
        <v>0</v>
      </c>
      <c r="DC2047">
        <v>0</v>
      </c>
      <c r="DD2047">
        <v>1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3">
      <c r="A2048" t="str">
        <f>"12/16/2021 14:53:26.393"</f>
        <v>12/16/2021 14:53:26.393</v>
      </c>
      <c r="C2048" t="str">
        <f t="shared" si="100"/>
        <v>FFDFD3C0</v>
      </c>
      <c r="D2048" t="s">
        <v>124</v>
      </c>
      <c r="E2048">
        <v>10</v>
      </c>
      <c r="F2048">
        <v>1010</v>
      </c>
      <c r="G2048" t="s">
        <v>130</v>
      </c>
      <c r="J2048" t="s">
        <v>125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>"14:53:26.148"</f>
        <v>14:53:26.148</v>
      </c>
      <c r="T2048" t="str">
        <f>"14:53:25.848"</f>
        <v>14:53:25.848</v>
      </c>
      <c r="U2048" t="str">
        <f t="shared" si="99"/>
        <v>A0F928</v>
      </c>
      <c r="V2048">
        <v>0</v>
      </c>
      <c r="W2048">
        <v>0</v>
      </c>
      <c r="X2048">
        <v>2</v>
      </c>
      <c r="Z2048">
        <v>0</v>
      </c>
      <c r="AA2048">
        <v>9</v>
      </c>
      <c r="AB2048">
        <v>3</v>
      </c>
      <c r="AC2048">
        <v>0</v>
      </c>
      <c r="AD2048">
        <v>10</v>
      </c>
      <c r="AE2048">
        <v>0</v>
      </c>
      <c r="AF2048">
        <v>0</v>
      </c>
      <c r="AG2048">
        <v>2</v>
      </c>
      <c r="AH2048">
        <v>1</v>
      </c>
      <c r="AI2048" t="s">
        <v>1074</v>
      </c>
      <c r="AJ2048">
        <v>35.858023000000003</v>
      </c>
      <c r="AK2048" t="s">
        <v>1075</v>
      </c>
      <c r="AL2048">
        <v>-83.96857</v>
      </c>
      <c r="AM2048">
        <v>25</v>
      </c>
      <c r="AN2048">
        <v>1300</v>
      </c>
      <c r="AO2048" t="s">
        <v>118</v>
      </c>
      <c r="AP2048">
        <v>96</v>
      </c>
      <c r="AQ2048">
        <v>-44</v>
      </c>
      <c r="AR2048">
        <v>-640</v>
      </c>
      <c r="AZ2048">
        <v>300</v>
      </c>
      <c r="BA2048">
        <v>1</v>
      </c>
      <c r="BB2048" t="str">
        <f t="shared" si="101"/>
        <v xml:space="preserve">N162AM  </v>
      </c>
      <c r="BC2048">
        <v>1</v>
      </c>
      <c r="BE2048">
        <v>0</v>
      </c>
      <c r="BF2048">
        <v>0</v>
      </c>
      <c r="BG2048">
        <v>0</v>
      </c>
      <c r="BH2048">
        <v>1575</v>
      </c>
      <c r="BI2048">
        <v>1</v>
      </c>
      <c r="BJ2048">
        <v>1</v>
      </c>
      <c r="BK2048">
        <v>1</v>
      </c>
      <c r="BL2048">
        <v>0</v>
      </c>
      <c r="BO2048">
        <v>0</v>
      </c>
      <c r="BP2048">
        <v>0</v>
      </c>
      <c r="BW2048" t="str">
        <f>"14:53:26.153"</f>
        <v>14:53:26.153</v>
      </c>
      <c r="CJ2048">
        <v>2</v>
      </c>
      <c r="CK2048">
        <v>2</v>
      </c>
      <c r="CL2048">
        <v>0</v>
      </c>
      <c r="CM2048">
        <v>2</v>
      </c>
      <c r="CN2048">
        <v>0</v>
      </c>
      <c r="CO2048">
        <v>6</v>
      </c>
      <c r="CP2048" t="s">
        <v>119</v>
      </c>
      <c r="CQ2048">
        <v>232</v>
      </c>
      <c r="CR2048">
        <v>2</v>
      </c>
      <c r="CW2048">
        <v>7022450</v>
      </c>
      <c r="CY2048">
        <v>1</v>
      </c>
      <c r="CZ2048">
        <v>0</v>
      </c>
      <c r="DA2048">
        <v>1</v>
      </c>
      <c r="DB2048">
        <v>0</v>
      </c>
      <c r="DC2048">
        <v>0</v>
      </c>
      <c r="DD2048">
        <v>1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3">
      <c r="A2049" t="str">
        <f>"12/16/2021 14:53:26.393"</f>
        <v>12/16/2021 14:53:26.393</v>
      </c>
      <c r="C2049" t="str">
        <f t="shared" si="100"/>
        <v>FFDFD3C0</v>
      </c>
      <c r="D2049" t="s">
        <v>133</v>
      </c>
      <c r="E2049">
        <v>44</v>
      </c>
      <c r="H2049">
        <v>131</v>
      </c>
      <c r="I2049" t="s">
        <v>134</v>
      </c>
      <c r="J2049" t="s">
        <v>135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>"14:53:26.148"</f>
        <v>14:53:26.148</v>
      </c>
      <c r="T2049" t="str">
        <f>"14:53:25.848"</f>
        <v>14:53:25.848</v>
      </c>
      <c r="U2049" t="str">
        <f t="shared" si="99"/>
        <v>A0F928</v>
      </c>
      <c r="V2049">
        <v>0</v>
      </c>
      <c r="W2049">
        <v>0</v>
      </c>
      <c r="X2049">
        <v>2</v>
      </c>
      <c r="Z2049">
        <v>0</v>
      </c>
      <c r="AA2049">
        <v>9</v>
      </c>
      <c r="AB2049">
        <v>3</v>
      </c>
      <c r="AC2049">
        <v>0</v>
      </c>
      <c r="AD2049">
        <v>10</v>
      </c>
      <c r="AE2049">
        <v>0</v>
      </c>
      <c r="AF2049">
        <v>3</v>
      </c>
      <c r="AG2049">
        <v>2</v>
      </c>
      <c r="AH2049">
        <v>1</v>
      </c>
      <c r="AI2049" t="s">
        <v>1074</v>
      </c>
      <c r="AJ2049">
        <v>35.858023000000003</v>
      </c>
      <c r="AK2049" t="s">
        <v>1075</v>
      </c>
      <c r="AL2049">
        <v>-83.96857</v>
      </c>
      <c r="AM2049">
        <v>25</v>
      </c>
      <c r="AN2049">
        <v>1300</v>
      </c>
      <c r="AO2049" t="s">
        <v>118</v>
      </c>
      <c r="AP2049">
        <v>96</v>
      </c>
      <c r="AQ2049">
        <v>-44</v>
      </c>
      <c r="AR2049">
        <v>-640</v>
      </c>
      <c r="AZ2049">
        <v>300</v>
      </c>
      <c r="BA2049">
        <v>1</v>
      </c>
      <c r="BB2049" t="str">
        <f t="shared" si="101"/>
        <v xml:space="preserve">N162AM  </v>
      </c>
      <c r="BC2049">
        <v>1</v>
      </c>
      <c r="BE2049">
        <v>0</v>
      </c>
      <c r="BF2049">
        <v>0</v>
      </c>
      <c r="BG2049">
        <v>0</v>
      </c>
      <c r="BH2049">
        <v>1575</v>
      </c>
      <c r="BI2049">
        <v>1</v>
      </c>
      <c r="BJ2049">
        <v>1</v>
      </c>
      <c r="BK2049">
        <v>1</v>
      </c>
      <c r="BL2049">
        <v>0</v>
      </c>
      <c r="BO2049">
        <v>0</v>
      </c>
      <c r="BP2049">
        <v>0</v>
      </c>
      <c r="BW2049" t="str">
        <f>"14:53:26.153"</f>
        <v>14:53:26.153</v>
      </c>
      <c r="CJ2049">
        <v>3</v>
      </c>
      <c r="CK2049">
        <v>2</v>
      </c>
      <c r="CL2049">
        <v>0</v>
      </c>
      <c r="CM2049">
        <v>2</v>
      </c>
      <c r="CN2049">
        <v>0</v>
      </c>
      <c r="CO2049">
        <v>6</v>
      </c>
      <c r="CP2049" t="s">
        <v>119</v>
      </c>
      <c r="CQ2049">
        <v>232</v>
      </c>
      <c r="CR2049">
        <v>2</v>
      </c>
      <c r="CW2049">
        <v>7022450</v>
      </c>
      <c r="CY2049">
        <v>1</v>
      </c>
      <c r="CZ2049">
        <v>0</v>
      </c>
      <c r="DA2049">
        <v>1</v>
      </c>
      <c r="DB2049">
        <v>0</v>
      </c>
      <c r="DC2049">
        <v>0</v>
      </c>
      <c r="DD2049">
        <v>1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3">
      <c r="A2050" t="str">
        <f>"12/16/2021 14:53:27.315"</f>
        <v>12/16/2021 14:53:27.315</v>
      </c>
      <c r="C2050" t="str">
        <f t="shared" si="100"/>
        <v>FFDFD3C0</v>
      </c>
      <c r="D2050" t="s">
        <v>124</v>
      </c>
      <c r="E2050">
        <v>5</v>
      </c>
      <c r="F2050">
        <v>1005</v>
      </c>
      <c r="G2050" t="s">
        <v>114</v>
      </c>
      <c r="J2050" t="s">
        <v>125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>"14:53:27.148"</f>
        <v>14:53:27.148</v>
      </c>
      <c r="T2050" t="str">
        <f>"14:53:26.648"</f>
        <v>14:53:26.648</v>
      </c>
      <c r="U2050" t="str">
        <f t="shared" ref="U2050:U2113" si="102">"A0F928"</f>
        <v>A0F928</v>
      </c>
      <c r="V2050">
        <v>0</v>
      </c>
      <c r="W2050">
        <v>0</v>
      </c>
      <c r="X2050">
        <v>2</v>
      </c>
      <c r="Z2050">
        <v>0</v>
      </c>
      <c r="AA2050">
        <v>9</v>
      </c>
      <c r="AB2050">
        <v>3</v>
      </c>
      <c r="AC2050">
        <v>0</v>
      </c>
      <c r="AD2050">
        <v>10</v>
      </c>
      <c r="AE2050">
        <v>0</v>
      </c>
      <c r="AF2050">
        <v>3</v>
      </c>
      <c r="AG2050">
        <v>2</v>
      </c>
      <c r="AH2050">
        <v>1</v>
      </c>
      <c r="AI2050" t="s">
        <v>1076</v>
      </c>
      <c r="AJ2050">
        <v>35.857787000000002</v>
      </c>
      <c r="AK2050" t="s">
        <v>1077</v>
      </c>
      <c r="AL2050">
        <v>-83.968034000000003</v>
      </c>
      <c r="AM2050">
        <v>25</v>
      </c>
      <c r="AN2050">
        <v>1300</v>
      </c>
      <c r="AO2050" t="s">
        <v>118</v>
      </c>
      <c r="AP2050">
        <v>94</v>
      </c>
      <c r="AQ2050">
        <v>-49</v>
      </c>
      <c r="AR2050">
        <v>-640</v>
      </c>
      <c r="AZ2050">
        <v>300</v>
      </c>
      <c r="BA2050">
        <v>1</v>
      </c>
      <c r="BB2050" t="str">
        <f t="shared" si="101"/>
        <v xml:space="preserve">N162AM  </v>
      </c>
      <c r="BC2050">
        <v>1</v>
      </c>
      <c r="BE2050">
        <v>0</v>
      </c>
      <c r="BF2050">
        <v>0</v>
      </c>
      <c r="BG2050">
        <v>0</v>
      </c>
      <c r="BH2050">
        <v>1550</v>
      </c>
      <c r="BI2050">
        <v>1</v>
      </c>
      <c r="BJ2050">
        <v>1</v>
      </c>
      <c r="BK2050">
        <v>1</v>
      </c>
      <c r="BL2050">
        <v>0</v>
      </c>
      <c r="BO2050">
        <v>0</v>
      </c>
      <c r="BP2050">
        <v>0</v>
      </c>
      <c r="BW2050" t="str">
        <f>"14:53:27.150"</f>
        <v>14:53:27.150</v>
      </c>
      <c r="CJ2050">
        <v>3</v>
      </c>
      <c r="CK2050">
        <v>2</v>
      </c>
      <c r="CL2050">
        <v>0</v>
      </c>
      <c r="CM2050">
        <v>2</v>
      </c>
      <c r="CN2050">
        <v>0</v>
      </c>
      <c r="CO2050">
        <v>5</v>
      </c>
      <c r="CP2050" t="s">
        <v>119</v>
      </c>
      <c r="CQ2050">
        <v>232</v>
      </c>
      <c r="CR2050">
        <v>1</v>
      </c>
      <c r="CW2050">
        <v>15806965</v>
      </c>
      <c r="CY2050">
        <v>1</v>
      </c>
      <c r="CZ2050">
        <v>0</v>
      </c>
      <c r="DA2050">
        <v>0</v>
      </c>
      <c r="DB2050">
        <v>0</v>
      </c>
      <c r="DC2050">
        <v>0</v>
      </c>
      <c r="DD2050">
        <v>1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3">
      <c r="A2051" t="str">
        <f>"12/16/2021 14:53:27.330"</f>
        <v>12/16/2021 14:53:27.330</v>
      </c>
      <c r="C2051" t="str">
        <f t="shared" si="100"/>
        <v>FFDFD3C0</v>
      </c>
      <c r="D2051" t="s">
        <v>113</v>
      </c>
      <c r="E2051">
        <v>8</v>
      </c>
      <c r="H2051">
        <v>176</v>
      </c>
      <c r="I2051" t="s">
        <v>114</v>
      </c>
      <c r="J2051" t="s">
        <v>115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>"14:53:27.148"</f>
        <v>14:53:27.148</v>
      </c>
      <c r="T2051" t="str">
        <f>"14:53:26.648"</f>
        <v>14:53:26.648</v>
      </c>
      <c r="U2051" t="str">
        <f t="shared" si="102"/>
        <v>A0F928</v>
      </c>
      <c r="V2051">
        <v>0</v>
      </c>
      <c r="W2051">
        <v>0</v>
      </c>
      <c r="X2051">
        <v>2</v>
      </c>
      <c r="Z2051">
        <v>0</v>
      </c>
      <c r="AA2051">
        <v>9</v>
      </c>
      <c r="AB2051">
        <v>3</v>
      </c>
      <c r="AC2051">
        <v>0</v>
      </c>
      <c r="AD2051">
        <v>10</v>
      </c>
      <c r="AE2051">
        <v>0</v>
      </c>
      <c r="AF2051">
        <v>3</v>
      </c>
      <c r="AG2051">
        <v>2</v>
      </c>
      <c r="AH2051">
        <v>1</v>
      </c>
      <c r="AI2051" t="s">
        <v>1076</v>
      </c>
      <c r="AJ2051">
        <v>35.857787000000002</v>
      </c>
      <c r="AK2051" t="s">
        <v>1077</v>
      </c>
      <c r="AL2051">
        <v>-83.968034000000003</v>
      </c>
      <c r="AM2051">
        <v>25</v>
      </c>
      <c r="AN2051">
        <v>1300</v>
      </c>
      <c r="AO2051" t="s">
        <v>118</v>
      </c>
      <c r="AP2051">
        <v>94</v>
      </c>
      <c r="AQ2051">
        <v>-49</v>
      </c>
      <c r="AR2051">
        <v>-640</v>
      </c>
      <c r="AZ2051">
        <v>300</v>
      </c>
      <c r="BA2051">
        <v>1</v>
      </c>
      <c r="BB2051" t="str">
        <f t="shared" si="101"/>
        <v xml:space="preserve">N162AM  </v>
      </c>
      <c r="BC2051">
        <v>1</v>
      </c>
      <c r="BE2051">
        <v>0</v>
      </c>
      <c r="BF2051">
        <v>0</v>
      </c>
      <c r="BG2051">
        <v>0</v>
      </c>
      <c r="BH2051">
        <v>1550</v>
      </c>
      <c r="BI2051">
        <v>1</v>
      </c>
      <c r="BJ2051">
        <v>1</v>
      </c>
      <c r="BK2051">
        <v>1</v>
      </c>
      <c r="BL2051">
        <v>0</v>
      </c>
      <c r="BO2051">
        <v>0</v>
      </c>
      <c r="BP2051">
        <v>0</v>
      </c>
      <c r="BW2051" t="str">
        <f>"14:53:27.150"</f>
        <v>14:53:27.150</v>
      </c>
      <c r="CJ2051">
        <v>3</v>
      </c>
      <c r="CK2051">
        <v>2</v>
      </c>
      <c r="CL2051">
        <v>0</v>
      </c>
      <c r="CM2051">
        <v>2</v>
      </c>
      <c r="CN2051">
        <v>0</v>
      </c>
      <c r="CO2051">
        <v>5</v>
      </c>
      <c r="CP2051" t="s">
        <v>119</v>
      </c>
      <c r="CQ2051">
        <v>232</v>
      </c>
      <c r="CR2051">
        <v>1</v>
      </c>
      <c r="CW2051">
        <v>15806965</v>
      </c>
      <c r="CY2051">
        <v>1</v>
      </c>
      <c r="CZ2051">
        <v>0</v>
      </c>
      <c r="DA2051">
        <v>1</v>
      </c>
      <c r="DB2051">
        <v>0</v>
      </c>
      <c r="DC2051">
        <v>0</v>
      </c>
      <c r="DD2051">
        <v>1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3">
      <c r="A2052" t="str">
        <f>"12/16/2021 14:53:27.346"</f>
        <v>12/16/2021 14:53:27.346</v>
      </c>
      <c r="C2052" t="str">
        <f t="shared" si="100"/>
        <v>FFDFD3C0</v>
      </c>
      <c r="D2052" t="s">
        <v>124</v>
      </c>
      <c r="E2052">
        <v>10</v>
      </c>
      <c r="F2052">
        <v>1010</v>
      </c>
      <c r="G2052" t="s">
        <v>130</v>
      </c>
      <c r="J2052" t="s">
        <v>125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>"14:53:27.148"</f>
        <v>14:53:27.148</v>
      </c>
      <c r="T2052" t="str">
        <f>"14:53:26.648"</f>
        <v>14:53:26.648</v>
      </c>
      <c r="U2052" t="str">
        <f t="shared" si="102"/>
        <v>A0F928</v>
      </c>
      <c r="V2052">
        <v>0</v>
      </c>
      <c r="W2052">
        <v>0</v>
      </c>
      <c r="X2052">
        <v>2</v>
      </c>
      <c r="Z2052">
        <v>0</v>
      </c>
      <c r="AA2052">
        <v>9</v>
      </c>
      <c r="AB2052">
        <v>3</v>
      </c>
      <c r="AC2052">
        <v>0</v>
      </c>
      <c r="AD2052">
        <v>10</v>
      </c>
      <c r="AE2052">
        <v>0</v>
      </c>
      <c r="AF2052">
        <v>0</v>
      </c>
      <c r="AG2052">
        <v>2</v>
      </c>
      <c r="AH2052">
        <v>1</v>
      </c>
      <c r="AI2052" t="s">
        <v>1076</v>
      </c>
      <c r="AJ2052">
        <v>35.857787000000002</v>
      </c>
      <c r="AK2052" t="s">
        <v>1077</v>
      </c>
      <c r="AL2052">
        <v>-83.968034000000003</v>
      </c>
      <c r="AM2052">
        <v>25</v>
      </c>
      <c r="AN2052">
        <v>1300</v>
      </c>
      <c r="AO2052" t="s">
        <v>118</v>
      </c>
      <c r="AP2052">
        <v>94</v>
      </c>
      <c r="AQ2052">
        <v>-49</v>
      </c>
      <c r="AR2052">
        <v>-640</v>
      </c>
      <c r="AZ2052">
        <v>300</v>
      </c>
      <c r="BA2052">
        <v>1</v>
      </c>
      <c r="BB2052" t="str">
        <f t="shared" si="101"/>
        <v xml:space="preserve">N162AM  </v>
      </c>
      <c r="BC2052">
        <v>1</v>
      </c>
      <c r="BE2052">
        <v>0</v>
      </c>
      <c r="BF2052">
        <v>0</v>
      </c>
      <c r="BG2052">
        <v>0</v>
      </c>
      <c r="BH2052">
        <v>1550</v>
      </c>
      <c r="BI2052">
        <v>1</v>
      </c>
      <c r="BJ2052">
        <v>1</v>
      </c>
      <c r="BK2052">
        <v>1</v>
      </c>
      <c r="BL2052">
        <v>0</v>
      </c>
      <c r="BO2052">
        <v>0</v>
      </c>
      <c r="BP2052">
        <v>0</v>
      </c>
      <c r="BW2052" t="str">
        <f>"14:53:27.150"</f>
        <v>14:53:27.150</v>
      </c>
      <c r="CJ2052">
        <v>2</v>
      </c>
      <c r="CK2052">
        <v>2</v>
      </c>
      <c r="CL2052">
        <v>0</v>
      </c>
      <c r="CM2052">
        <v>2</v>
      </c>
      <c r="CN2052">
        <v>0</v>
      </c>
      <c r="CO2052">
        <v>5</v>
      </c>
      <c r="CP2052" t="s">
        <v>119</v>
      </c>
      <c r="CQ2052">
        <v>232</v>
      </c>
      <c r="CR2052">
        <v>1</v>
      </c>
      <c r="CW2052">
        <v>15806965</v>
      </c>
      <c r="CY2052">
        <v>1</v>
      </c>
      <c r="CZ2052">
        <v>0</v>
      </c>
      <c r="DA2052">
        <v>1</v>
      </c>
      <c r="DB2052">
        <v>0</v>
      </c>
      <c r="DC2052">
        <v>0</v>
      </c>
      <c r="DD2052">
        <v>1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3">
      <c r="A2053" t="str">
        <f>"12/16/2021 14:53:27.346"</f>
        <v>12/16/2021 14:53:27.346</v>
      </c>
      <c r="C2053" t="str">
        <f t="shared" si="100"/>
        <v>FFDFD3C0</v>
      </c>
      <c r="D2053" t="s">
        <v>133</v>
      </c>
      <c r="E2053">
        <v>44</v>
      </c>
      <c r="H2053">
        <v>131</v>
      </c>
      <c r="I2053" t="s">
        <v>134</v>
      </c>
      <c r="J2053" t="s">
        <v>135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>"14:53:27.148"</f>
        <v>14:53:27.148</v>
      </c>
      <c r="T2053" t="str">
        <f>"14:53:26.648"</f>
        <v>14:53:26.648</v>
      </c>
      <c r="U2053" t="str">
        <f t="shared" si="102"/>
        <v>A0F928</v>
      </c>
      <c r="V2053">
        <v>0</v>
      </c>
      <c r="W2053">
        <v>0</v>
      </c>
      <c r="X2053">
        <v>2</v>
      </c>
      <c r="Z2053">
        <v>0</v>
      </c>
      <c r="AA2053">
        <v>9</v>
      </c>
      <c r="AB2053">
        <v>3</v>
      </c>
      <c r="AC2053">
        <v>0</v>
      </c>
      <c r="AD2053">
        <v>10</v>
      </c>
      <c r="AE2053">
        <v>0</v>
      </c>
      <c r="AF2053">
        <v>3</v>
      </c>
      <c r="AG2053">
        <v>2</v>
      </c>
      <c r="AH2053">
        <v>1</v>
      </c>
      <c r="AI2053" t="s">
        <v>1076</v>
      </c>
      <c r="AJ2053">
        <v>35.857787000000002</v>
      </c>
      <c r="AK2053" t="s">
        <v>1077</v>
      </c>
      <c r="AL2053">
        <v>-83.968034000000003</v>
      </c>
      <c r="AM2053">
        <v>25</v>
      </c>
      <c r="AN2053">
        <v>1300</v>
      </c>
      <c r="AO2053" t="s">
        <v>118</v>
      </c>
      <c r="AP2053">
        <v>94</v>
      </c>
      <c r="AQ2053">
        <v>-49</v>
      </c>
      <c r="AR2053">
        <v>-640</v>
      </c>
      <c r="AZ2053">
        <v>300</v>
      </c>
      <c r="BA2053">
        <v>1</v>
      </c>
      <c r="BB2053" t="str">
        <f t="shared" si="101"/>
        <v xml:space="preserve">N162AM  </v>
      </c>
      <c r="BC2053">
        <v>1</v>
      </c>
      <c r="BE2053">
        <v>0</v>
      </c>
      <c r="BF2053">
        <v>0</v>
      </c>
      <c r="BG2053">
        <v>0</v>
      </c>
      <c r="BH2053">
        <v>1550</v>
      </c>
      <c r="BI2053">
        <v>1</v>
      </c>
      <c r="BJ2053">
        <v>1</v>
      </c>
      <c r="BK2053">
        <v>1</v>
      </c>
      <c r="BL2053">
        <v>0</v>
      </c>
      <c r="BO2053">
        <v>0</v>
      </c>
      <c r="BP2053">
        <v>0</v>
      </c>
      <c r="BW2053" t="str">
        <f>"14:53:27.150"</f>
        <v>14:53:27.150</v>
      </c>
      <c r="CJ2053">
        <v>3</v>
      </c>
      <c r="CK2053">
        <v>2</v>
      </c>
      <c r="CL2053">
        <v>0</v>
      </c>
      <c r="CM2053">
        <v>2</v>
      </c>
      <c r="CN2053">
        <v>0</v>
      </c>
      <c r="CO2053">
        <v>5</v>
      </c>
      <c r="CP2053" t="s">
        <v>119</v>
      </c>
      <c r="CQ2053">
        <v>232</v>
      </c>
      <c r="CR2053">
        <v>1</v>
      </c>
      <c r="CW2053">
        <v>15806965</v>
      </c>
      <c r="CY2053">
        <v>1</v>
      </c>
      <c r="CZ2053">
        <v>0</v>
      </c>
      <c r="DA2053">
        <v>1</v>
      </c>
      <c r="DB2053">
        <v>0</v>
      </c>
      <c r="DC2053">
        <v>0</v>
      </c>
      <c r="DD2053">
        <v>1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3">
      <c r="A2054" t="str">
        <f>"12/16/2021 14:53:28.346"</f>
        <v>12/16/2021 14:53:28.346</v>
      </c>
      <c r="C2054" t="str">
        <f t="shared" si="100"/>
        <v>FFDFD3C0</v>
      </c>
      <c r="D2054" t="s">
        <v>124</v>
      </c>
      <c r="E2054">
        <v>5</v>
      </c>
      <c r="F2054">
        <v>1005</v>
      </c>
      <c r="G2054" t="s">
        <v>114</v>
      </c>
      <c r="J2054" t="s">
        <v>125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>"14:53:28.102"</f>
        <v>14:53:28.102</v>
      </c>
      <c r="T2054" t="str">
        <f>"14:53:27.702"</f>
        <v>14:53:27.702</v>
      </c>
      <c r="U2054" t="str">
        <f t="shared" si="102"/>
        <v>A0F928</v>
      </c>
      <c r="V2054">
        <v>0</v>
      </c>
      <c r="W2054">
        <v>0</v>
      </c>
      <c r="X2054">
        <v>2</v>
      </c>
      <c r="Z2054">
        <v>0</v>
      </c>
      <c r="AA2054">
        <v>9</v>
      </c>
      <c r="AB2054">
        <v>3</v>
      </c>
      <c r="AC2054">
        <v>0</v>
      </c>
      <c r="AD2054">
        <v>10</v>
      </c>
      <c r="AE2054">
        <v>0</v>
      </c>
      <c r="AF2054">
        <v>3</v>
      </c>
      <c r="AG2054">
        <v>2</v>
      </c>
      <c r="AH2054">
        <v>1</v>
      </c>
      <c r="AI2054" t="s">
        <v>1078</v>
      </c>
      <c r="AJ2054">
        <v>35.857508000000003</v>
      </c>
      <c r="AK2054" t="s">
        <v>1079</v>
      </c>
      <c r="AL2054">
        <v>-83.967518999999996</v>
      </c>
      <c r="AM2054">
        <v>25</v>
      </c>
      <c r="AN2054">
        <v>1300</v>
      </c>
      <c r="AO2054" t="s">
        <v>118</v>
      </c>
      <c r="AP2054">
        <v>90</v>
      </c>
      <c r="AQ2054">
        <v>-55</v>
      </c>
      <c r="AR2054">
        <v>-640</v>
      </c>
      <c r="AZ2054">
        <v>300</v>
      </c>
      <c r="BA2054">
        <v>1</v>
      </c>
      <c r="BB2054" t="str">
        <f t="shared" si="101"/>
        <v xml:space="preserve">N162AM  </v>
      </c>
      <c r="BC2054">
        <v>1</v>
      </c>
      <c r="BE2054">
        <v>0</v>
      </c>
      <c r="BF2054">
        <v>0</v>
      </c>
      <c r="BG2054">
        <v>0</v>
      </c>
      <c r="BH2054">
        <v>1550</v>
      </c>
      <c r="BI2054">
        <v>1</v>
      </c>
      <c r="BJ2054">
        <v>1</v>
      </c>
      <c r="BK2054">
        <v>1</v>
      </c>
      <c r="BL2054">
        <v>0</v>
      </c>
      <c r="BO2054">
        <v>0</v>
      </c>
      <c r="BP2054">
        <v>0</v>
      </c>
      <c r="BW2054" t="str">
        <f>"14:53:28.106"</f>
        <v>14:53:28.106</v>
      </c>
      <c r="CJ2054">
        <v>3</v>
      </c>
      <c r="CK2054">
        <v>2</v>
      </c>
      <c r="CL2054">
        <v>0</v>
      </c>
      <c r="CM2054">
        <v>2</v>
      </c>
      <c r="CN2054">
        <v>0</v>
      </c>
      <c r="CO2054">
        <v>6</v>
      </c>
      <c r="CP2054" t="s">
        <v>119</v>
      </c>
      <c r="CQ2054">
        <v>232</v>
      </c>
      <c r="CR2054">
        <v>2</v>
      </c>
      <c r="CW2054">
        <v>7025586</v>
      </c>
      <c r="CY2054">
        <v>1</v>
      </c>
      <c r="CZ2054">
        <v>0</v>
      </c>
      <c r="DA2054">
        <v>0</v>
      </c>
      <c r="DB2054">
        <v>0</v>
      </c>
      <c r="DC2054">
        <v>0</v>
      </c>
      <c r="DD2054">
        <v>1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3">
      <c r="A2055" t="str">
        <f>"12/16/2021 14:53:28.346"</f>
        <v>12/16/2021 14:53:28.346</v>
      </c>
      <c r="C2055" t="str">
        <f t="shared" si="100"/>
        <v>FFDFD3C0</v>
      </c>
      <c r="D2055" t="s">
        <v>113</v>
      </c>
      <c r="E2055">
        <v>8</v>
      </c>
      <c r="H2055">
        <v>176</v>
      </c>
      <c r="I2055" t="s">
        <v>114</v>
      </c>
      <c r="J2055" t="s">
        <v>115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>"14:53:28.102"</f>
        <v>14:53:28.102</v>
      </c>
      <c r="T2055" t="str">
        <f>"14:53:27.702"</f>
        <v>14:53:27.702</v>
      </c>
      <c r="U2055" t="str">
        <f t="shared" si="102"/>
        <v>A0F928</v>
      </c>
      <c r="V2055">
        <v>0</v>
      </c>
      <c r="W2055">
        <v>0</v>
      </c>
      <c r="X2055">
        <v>2</v>
      </c>
      <c r="Z2055">
        <v>0</v>
      </c>
      <c r="AA2055">
        <v>9</v>
      </c>
      <c r="AB2055">
        <v>3</v>
      </c>
      <c r="AC2055">
        <v>0</v>
      </c>
      <c r="AD2055">
        <v>10</v>
      </c>
      <c r="AE2055">
        <v>0</v>
      </c>
      <c r="AF2055">
        <v>3</v>
      </c>
      <c r="AG2055">
        <v>2</v>
      </c>
      <c r="AH2055">
        <v>1</v>
      </c>
      <c r="AI2055" t="s">
        <v>1078</v>
      </c>
      <c r="AJ2055">
        <v>35.857508000000003</v>
      </c>
      <c r="AK2055" t="s">
        <v>1079</v>
      </c>
      <c r="AL2055">
        <v>-83.967518999999996</v>
      </c>
      <c r="AM2055">
        <v>25</v>
      </c>
      <c r="AN2055">
        <v>1300</v>
      </c>
      <c r="AO2055" t="s">
        <v>118</v>
      </c>
      <c r="AP2055">
        <v>90</v>
      </c>
      <c r="AQ2055">
        <v>-55</v>
      </c>
      <c r="AR2055">
        <v>-640</v>
      </c>
      <c r="AZ2055">
        <v>300</v>
      </c>
      <c r="BA2055">
        <v>1</v>
      </c>
      <c r="BB2055" t="str">
        <f t="shared" si="101"/>
        <v xml:space="preserve">N162AM  </v>
      </c>
      <c r="BC2055">
        <v>1</v>
      </c>
      <c r="BE2055">
        <v>0</v>
      </c>
      <c r="BF2055">
        <v>0</v>
      </c>
      <c r="BG2055">
        <v>0</v>
      </c>
      <c r="BH2055">
        <v>1550</v>
      </c>
      <c r="BI2055">
        <v>1</v>
      </c>
      <c r="BJ2055">
        <v>1</v>
      </c>
      <c r="BK2055">
        <v>1</v>
      </c>
      <c r="BL2055">
        <v>0</v>
      </c>
      <c r="BO2055">
        <v>0</v>
      </c>
      <c r="BP2055">
        <v>0</v>
      </c>
      <c r="BW2055" t="str">
        <f>"14:53:28.106"</f>
        <v>14:53:28.106</v>
      </c>
      <c r="CJ2055">
        <v>3</v>
      </c>
      <c r="CK2055">
        <v>2</v>
      </c>
      <c r="CL2055">
        <v>0</v>
      </c>
      <c r="CM2055">
        <v>2</v>
      </c>
      <c r="CN2055">
        <v>0</v>
      </c>
      <c r="CO2055">
        <v>6</v>
      </c>
      <c r="CP2055" t="s">
        <v>119</v>
      </c>
      <c r="CQ2055">
        <v>232</v>
      </c>
      <c r="CR2055">
        <v>2</v>
      </c>
      <c r="CW2055">
        <v>7025586</v>
      </c>
      <c r="CY2055">
        <v>1</v>
      </c>
      <c r="CZ2055">
        <v>0</v>
      </c>
      <c r="DA2055">
        <v>1</v>
      </c>
      <c r="DB2055">
        <v>0</v>
      </c>
      <c r="DC2055">
        <v>0</v>
      </c>
      <c r="DD2055">
        <v>1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3">
      <c r="A2056" t="str">
        <f>"12/16/2021 14:53:28.346"</f>
        <v>12/16/2021 14:53:28.346</v>
      </c>
      <c r="C2056" t="str">
        <f t="shared" si="100"/>
        <v>FFDFD3C0</v>
      </c>
      <c r="D2056" t="s">
        <v>124</v>
      </c>
      <c r="E2056">
        <v>10</v>
      </c>
      <c r="F2056">
        <v>1010</v>
      </c>
      <c r="G2056" t="s">
        <v>130</v>
      </c>
      <c r="J2056" t="s">
        <v>125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>"14:53:28.102"</f>
        <v>14:53:28.102</v>
      </c>
      <c r="T2056" t="str">
        <f>"14:53:27.702"</f>
        <v>14:53:27.702</v>
      </c>
      <c r="U2056" t="str">
        <f t="shared" si="102"/>
        <v>A0F928</v>
      </c>
      <c r="V2056">
        <v>0</v>
      </c>
      <c r="W2056">
        <v>0</v>
      </c>
      <c r="X2056">
        <v>2</v>
      </c>
      <c r="Z2056">
        <v>0</v>
      </c>
      <c r="AA2056">
        <v>9</v>
      </c>
      <c r="AB2056">
        <v>3</v>
      </c>
      <c r="AC2056">
        <v>0</v>
      </c>
      <c r="AD2056">
        <v>10</v>
      </c>
      <c r="AE2056">
        <v>0</v>
      </c>
      <c r="AF2056">
        <v>0</v>
      </c>
      <c r="AG2056">
        <v>2</v>
      </c>
      <c r="AH2056">
        <v>1</v>
      </c>
      <c r="AI2056" t="s">
        <v>1078</v>
      </c>
      <c r="AJ2056">
        <v>35.857508000000003</v>
      </c>
      <c r="AK2056" t="s">
        <v>1079</v>
      </c>
      <c r="AL2056">
        <v>-83.967518999999996</v>
      </c>
      <c r="AM2056">
        <v>25</v>
      </c>
      <c r="AN2056">
        <v>1300</v>
      </c>
      <c r="AO2056" t="s">
        <v>118</v>
      </c>
      <c r="AP2056">
        <v>90</v>
      </c>
      <c r="AQ2056">
        <v>-55</v>
      </c>
      <c r="AR2056">
        <v>-640</v>
      </c>
      <c r="AZ2056">
        <v>300</v>
      </c>
      <c r="BA2056">
        <v>1</v>
      </c>
      <c r="BB2056" t="str">
        <f t="shared" si="101"/>
        <v xml:space="preserve">N162AM  </v>
      </c>
      <c r="BC2056">
        <v>1</v>
      </c>
      <c r="BE2056">
        <v>0</v>
      </c>
      <c r="BF2056">
        <v>0</v>
      </c>
      <c r="BG2056">
        <v>0</v>
      </c>
      <c r="BH2056">
        <v>1550</v>
      </c>
      <c r="BI2056">
        <v>1</v>
      </c>
      <c r="BJ2056">
        <v>1</v>
      </c>
      <c r="BK2056">
        <v>1</v>
      </c>
      <c r="BL2056">
        <v>0</v>
      </c>
      <c r="BO2056">
        <v>0</v>
      </c>
      <c r="BP2056">
        <v>0</v>
      </c>
      <c r="BW2056" t="str">
        <f>"14:53:28.106"</f>
        <v>14:53:28.106</v>
      </c>
      <c r="CJ2056">
        <v>2</v>
      </c>
      <c r="CK2056">
        <v>2</v>
      </c>
      <c r="CL2056">
        <v>0</v>
      </c>
      <c r="CM2056">
        <v>2</v>
      </c>
      <c r="CN2056">
        <v>0</v>
      </c>
      <c r="CO2056">
        <v>6</v>
      </c>
      <c r="CP2056" t="s">
        <v>119</v>
      </c>
      <c r="CQ2056">
        <v>232</v>
      </c>
      <c r="CR2056">
        <v>2</v>
      </c>
      <c r="CW2056">
        <v>7025586</v>
      </c>
      <c r="CY2056">
        <v>1</v>
      </c>
      <c r="CZ2056">
        <v>0</v>
      </c>
      <c r="DA2056">
        <v>1</v>
      </c>
      <c r="DB2056">
        <v>0</v>
      </c>
      <c r="DC2056">
        <v>0</v>
      </c>
      <c r="DD2056">
        <v>1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3">
      <c r="A2057" t="str">
        <f>"12/16/2021 14:53:28.346"</f>
        <v>12/16/2021 14:53:28.346</v>
      </c>
      <c r="C2057" t="str">
        <f t="shared" si="100"/>
        <v>FFDFD3C0</v>
      </c>
      <c r="D2057" t="s">
        <v>133</v>
      </c>
      <c r="E2057">
        <v>44</v>
      </c>
      <c r="H2057">
        <v>131</v>
      </c>
      <c r="I2057" t="s">
        <v>134</v>
      </c>
      <c r="J2057" t="s">
        <v>135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>"14:53:28.102"</f>
        <v>14:53:28.102</v>
      </c>
      <c r="T2057" t="str">
        <f>"14:53:27.702"</f>
        <v>14:53:27.702</v>
      </c>
      <c r="U2057" t="str">
        <f t="shared" si="102"/>
        <v>A0F928</v>
      </c>
      <c r="V2057">
        <v>0</v>
      </c>
      <c r="W2057">
        <v>0</v>
      </c>
      <c r="X2057">
        <v>2</v>
      </c>
      <c r="Z2057">
        <v>0</v>
      </c>
      <c r="AA2057">
        <v>9</v>
      </c>
      <c r="AB2057">
        <v>3</v>
      </c>
      <c r="AC2057">
        <v>0</v>
      </c>
      <c r="AD2057">
        <v>10</v>
      </c>
      <c r="AE2057">
        <v>0</v>
      </c>
      <c r="AF2057">
        <v>3</v>
      </c>
      <c r="AG2057">
        <v>2</v>
      </c>
      <c r="AH2057">
        <v>1</v>
      </c>
      <c r="AI2057" t="s">
        <v>1078</v>
      </c>
      <c r="AJ2057">
        <v>35.857508000000003</v>
      </c>
      <c r="AK2057" t="s">
        <v>1079</v>
      </c>
      <c r="AL2057">
        <v>-83.967518999999996</v>
      </c>
      <c r="AM2057">
        <v>25</v>
      </c>
      <c r="AN2057">
        <v>1300</v>
      </c>
      <c r="AO2057" t="s">
        <v>118</v>
      </c>
      <c r="AP2057">
        <v>90</v>
      </c>
      <c r="AQ2057">
        <v>-55</v>
      </c>
      <c r="AR2057">
        <v>-640</v>
      </c>
      <c r="AZ2057">
        <v>300</v>
      </c>
      <c r="BA2057">
        <v>1</v>
      </c>
      <c r="BB2057" t="str">
        <f t="shared" si="101"/>
        <v xml:space="preserve">N162AM  </v>
      </c>
      <c r="BC2057">
        <v>1</v>
      </c>
      <c r="BE2057">
        <v>0</v>
      </c>
      <c r="BF2057">
        <v>0</v>
      </c>
      <c r="BG2057">
        <v>0</v>
      </c>
      <c r="BH2057">
        <v>1550</v>
      </c>
      <c r="BI2057">
        <v>1</v>
      </c>
      <c r="BJ2057">
        <v>1</v>
      </c>
      <c r="BK2057">
        <v>1</v>
      </c>
      <c r="BL2057">
        <v>0</v>
      </c>
      <c r="BO2057">
        <v>0</v>
      </c>
      <c r="BP2057">
        <v>0</v>
      </c>
      <c r="BW2057" t="str">
        <f>"14:53:28.106"</f>
        <v>14:53:28.106</v>
      </c>
      <c r="CJ2057">
        <v>3</v>
      </c>
      <c r="CK2057">
        <v>2</v>
      </c>
      <c r="CL2057">
        <v>0</v>
      </c>
      <c r="CM2057">
        <v>2</v>
      </c>
      <c r="CN2057">
        <v>0</v>
      </c>
      <c r="CO2057">
        <v>6</v>
      </c>
      <c r="CP2057" t="s">
        <v>119</v>
      </c>
      <c r="CQ2057">
        <v>232</v>
      </c>
      <c r="CR2057">
        <v>2</v>
      </c>
      <c r="CW2057">
        <v>7025586</v>
      </c>
      <c r="CY2057">
        <v>1</v>
      </c>
      <c r="CZ2057">
        <v>0</v>
      </c>
      <c r="DA2057">
        <v>1</v>
      </c>
      <c r="DB2057">
        <v>0</v>
      </c>
      <c r="DC2057">
        <v>0</v>
      </c>
      <c r="DD2057">
        <v>1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3">
      <c r="A2058" t="str">
        <f>"12/16/2021 14:53:29.455"</f>
        <v>12/16/2021 14:53:29.455</v>
      </c>
      <c r="C2058" t="str">
        <f t="shared" si="100"/>
        <v>FFDFD3C0</v>
      </c>
      <c r="D2058" t="s">
        <v>124</v>
      </c>
      <c r="E2058">
        <v>5</v>
      </c>
      <c r="F2058">
        <v>1005</v>
      </c>
      <c r="G2058" t="s">
        <v>114</v>
      </c>
      <c r="J2058" t="s">
        <v>125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>"14:53:29.211"</f>
        <v>14:53:29.211</v>
      </c>
      <c r="T2058" t="str">
        <f>"14:53:28.711"</f>
        <v>14:53:28.711</v>
      </c>
      <c r="U2058" t="str">
        <f t="shared" si="102"/>
        <v>A0F928</v>
      </c>
      <c r="V2058">
        <v>0</v>
      </c>
      <c r="W2058">
        <v>0</v>
      </c>
      <c r="X2058">
        <v>2</v>
      </c>
      <c r="Z2058">
        <v>0</v>
      </c>
      <c r="AA2058">
        <v>9</v>
      </c>
      <c r="AB2058">
        <v>3</v>
      </c>
      <c r="AC2058">
        <v>0</v>
      </c>
      <c r="AD2058">
        <v>10</v>
      </c>
      <c r="AE2058">
        <v>0</v>
      </c>
      <c r="AF2058">
        <v>3</v>
      </c>
      <c r="AG2058">
        <v>2</v>
      </c>
      <c r="AH2058">
        <v>1</v>
      </c>
      <c r="AI2058" t="s">
        <v>1080</v>
      </c>
      <c r="AJ2058">
        <v>35.857228999999997</v>
      </c>
      <c r="AK2058" t="s">
        <v>1081</v>
      </c>
      <c r="AL2058">
        <v>-83.966960999999998</v>
      </c>
      <c r="AM2058">
        <v>25</v>
      </c>
      <c r="AN2058">
        <v>1275</v>
      </c>
      <c r="AO2058" t="s">
        <v>118</v>
      </c>
      <c r="AP2058">
        <v>87</v>
      </c>
      <c r="AQ2058">
        <v>-60</v>
      </c>
      <c r="AR2058">
        <v>-640</v>
      </c>
      <c r="AZ2058">
        <v>300</v>
      </c>
      <c r="BA2058">
        <v>1</v>
      </c>
      <c r="BB2058" t="str">
        <f t="shared" si="101"/>
        <v xml:space="preserve">N162AM  </v>
      </c>
      <c r="BC2058">
        <v>1</v>
      </c>
      <c r="BE2058">
        <v>0</v>
      </c>
      <c r="BF2058">
        <v>0</v>
      </c>
      <c r="BG2058">
        <v>0</v>
      </c>
      <c r="BH2058">
        <v>1550</v>
      </c>
      <c r="BI2058">
        <v>1</v>
      </c>
      <c r="BJ2058">
        <v>1</v>
      </c>
      <c r="BK2058">
        <v>1</v>
      </c>
      <c r="BL2058">
        <v>0</v>
      </c>
      <c r="BO2058">
        <v>0</v>
      </c>
      <c r="BP2058">
        <v>0</v>
      </c>
      <c r="BW2058" t="str">
        <f>"14:53:29.218"</f>
        <v>14:53:29.218</v>
      </c>
      <c r="CJ2058">
        <v>3</v>
      </c>
      <c r="CK2058">
        <v>2</v>
      </c>
      <c r="CL2058">
        <v>0</v>
      </c>
      <c r="CM2058">
        <v>2</v>
      </c>
      <c r="CN2058">
        <v>0</v>
      </c>
      <c r="CO2058">
        <v>6</v>
      </c>
      <c r="CP2058" t="s">
        <v>119</v>
      </c>
      <c r="CQ2058">
        <v>232</v>
      </c>
      <c r="CR2058">
        <v>1</v>
      </c>
      <c r="CW2058">
        <v>15810014</v>
      </c>
      <c r="CY2058">
        <v>1</v>
      </c>
      <c r="CZ2058">
        <v>0</v>
      </c>
      <c r="DA2058">
        <v>0</v>
      </c>
      <c r="DB2058">
        <v>0</v>
      </c>
      <c r="DC2058">
        <v>0</v>
      </c>
      <c r="DD2058">
        <v>1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3">
      <c r="A2059" t="str">
        <f>"12/16/2021 14:53:29.455"</f>
        <v>12/16/2021 14:53:29.455</v>
      </c>
      <c r="C2059" t="str">
        <f t="shared" si="100"/>
        <v>FFDFD3C0</v>
      </c>
      <c r="D2059" t="s">
        <v>124</v>
      </c>
      <c r="E2059">
        <v>10</v>
      </c>
      <c r="F2059">
        <v>1010</v>
      </c>
      <c r="G2059" t="s">
        <v>130</v>
      </c>
      <c r="J2059" t="s">
        <v>125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>"14:53:29.211"</f>
        <v>14:53:29.211</v>
      </c>
      <c r="T2059" t="str">
        <f>"14:53:28.711"</f>
        <v>14:53:28.711</v>
      </c>
      <c r="U2059" t="str">
        <f t="shared" si="102"/>
        <v>A0F928</v>
      </c>
      <c r="V2059">
        <v>0</v>
      </c>
      <c r="W2059">
        <v>0</v>
      </c>
      <c r="X2059">
        <v>2</v>
      </c>
      <c r="Z2059">
        <v>0</v>
      </c>
      <c r="AA2059">
        <v>9</v>
      </c>
      <c r="AB2059">
        <v>3</v>
      </c>
      <c r="AC2059">
        <v>0</v>
      </c>
      <c r="AD2059">
        <v>10</v>
      </c>
      <c r="AE2059">
        <v>0</v>
      </c>
      <c r="AF2059">
        <v>0</v>
      </c>
      <c r="AG2059">
        <v>2</v>
      </c>
      <c r="AH2059">
        <v>1</v>
      </c>
      <c r="AI2059" t="s">
        <v>1080</v>
      </c>
      <c r="AJ2059">
        <v>35.857228999999997</v>
      </c>
      <c r="AK2059" t="s">
        <v>1081</v>
      </c>
      <c r="AL2059">
        <v>-83.966960999999998</v>
      </c>
      <c r="AM2059">
        <v>25</v>
      </c>
      <c r="AN2059">
        <v>1275</v>
      </c>
      <c r="AO2059" t="s">
        <v>118</v>
      </c>
      <c r="AP2059">
        <v>87</v>
      </c>
      <c r="AQ2059">
        <v>-60</v>
      </c>
      <c r="AR2059">
        <v>-640</v>
      </c>
      <c r="AZ2059">
        <v>300</v>
      </c>
      <c r="BA2059">
        <v>1</v>
      </c>
      <c r="BB2059" t="str">
        <f t="shared" si="101"/>
        <v xml:space="preserve">N162AM  </v>
      </c>
      <c r="BC2059">
        <v>1</v>
      </c>
      <c r="BE2059">
        <v>0</v>
      </c>
      <c r="BF2059">
        <v>0</v>
      </c>
      <c r="BG2059">
        <v>0</v>
      </c>
      <c r="BH2059">
        <v>1550</v>
      </c>
      <c r="BI2059">
        <v>1</v>
      </c>
      <c r="BJ2059">
        <v>1</v>
      </c>
      <c r="BK2059">
        <v>1</v>
      </c>
      <c r="BL2059">
        <v>0</v>
      </c>
      <c r="BO2059">
        <v>0</v>
      </c>
      <c r="BP2059">
        <v>0</v>
      </c>
      <c r="BW2059" t="str">
        <f>"14:53:29.218"</f>
        <v>14:53:29.218</v>
      </c>
      <c r="CJ2059">
        <v>2</v>
      </c>
      <c r="CK2059">
        <v>2</v>
      </c>
      <c r="CL2059">
        <v>0</v>
      </c>
      <c r="CM2059">
        <v>2</v>
      </c>
      <c r="CN2059">
        <v>0</v>
      </c>
      <c r="CO2059">
        <v>6</v>
      </c>
      <c r="CP2059" t="s">
        <v>119</v>
      </c>
      <c r="CQ2059">
        <v>232</v>
      </c>
      <c r="CR2059">
        <v>1</v>
      </c>
      <c r="CW2059">
        <v>15810014</v>
      </c>
      <c r="CY2059">
        <v>1</v>
      </c>
      <c r="CZ2059">
        <v>0</v>
      </c>
      <c r="DA2059">
        <v>1</v>
      </c>
      <c r="DB2059">
        <v>0</v>
      </c>
      <c r="DC2059">
        <v>0</v>
      </c>
      <c r="DD2059">
        <v>1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3">
      <c r="A2060" t="str">
        <f>"12/16/2021 14:53:29.455"</f>
        <v>12/16/2021 14:53:29.455</v>
      </c>
      <c r="C2060" t="str">
        <f t="shared" si="100"/>
        <v>FFDFD3C0</v>
      </c>
      <c r="D2060" t="s">
        <v>113</v>
      </c>
      <c r="E2060">
        <v>8</v>
      </c>
      <c r="H2060">
        <v>176</v>
      </c>
      <c r="I2060" t="s">
        <v>114</v>
      </c>
      <c r="J2060" t="s">
        <v>115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>"14:53:29.211"</f>
        <v>14:53:29.211</v>
      </c>
      <c r="T2060" t="str">
        <f>"14:53:28.711"</f>
        <v>14:53:28.711</v>
      </c>
      <c r="U2060" t="str">
        <f t="shared" si="102"/>
        <v>A0F928</v>
      </c>
      <c r="V2060">
        <v>0</v>
      </c>
      <c r="W2060">
        <v>0</v>
      </c>
      <c r="X2060">
        <v>2</v>
      </c>
      <c r="Z2060">
        <v>0</v>
      </c>
      <c r="AA2060">
        <v>9</v>
      </c>
      <c r="AB2060">
        <v>3</v>
      </c>
      <c r="AC2060">
        <v>0</v>
      </c>
      <c r="AD2060">
        <v>10</v>
      </c>
      <c r="AE2060">
        <v>0</v>
      </c>
      <c r="AF2060">
        <v>3</v>
      </c>
      <c r="AG2060">
        <v>2</v>
      </c>
      <c r="AH2060">
        <v>1</v>
      </c>
      <c r="AI2060" t="s">
        <v>1080</v>
      </c>
      <c r="AJ2060">
        <v>35.857228999999997</v>
      </c>
      <c r="AK2060" t="s">
        <v>1081</v>
      </c>
      <c r="AL2060">
        <v>-83.966960999999998</v>
      </c>
      <c r="AM2060">
        <v>25</v>
      </c>
      <c r="AN2060">
        <v>1275</v>
      </c>
      <c r="AO2060" t="s">
        <v>118</v>
      </c>
      <c r="AP2060">
        <v>87</v>
      </c>
      <c r="AQ2060">
        <v>-60</v>
      </c>
      <c r="AR2060">
        <v>-640</v>
      </c>
      <c r="AZ2060">
        <v>300</v>
      </c>
      <c r="BA2060">
        <v>1</v>
      </c>
      <c r="BB2060" t="str">
        <f t="shared" si="101"/>
        <v xml:space="preserve">N162AM  </v>
      </c>
      <c r="BC2060">
        <v>1</v>
      </c>
      <c r="BE2060">
        <v>0</v>
      </c>
      <c r="BF2060">
        <v>0</v>
      </c>
      <c r="BG2060">
        <v>0</v>
      </c>
      <c r="BH2060">
        <v>1550</v>
      </c>
      <c r="BI2060">
        <v>1</v>
      </c>
      <c r="BJ2060">
        <v>1</v>
      </c>
      <c r="BK2060">
        <v>1</v>
      </c>
      <c r="BL2060">
        <v>0</v>
      </c>
      <c r="BO2060">
        <v>0</v>
      </c>
      <c r="BP2060">
        <v>0</v>
      </c>
      <c r="BW2060" t="str">
        <f>"14:53:29.218"</f>
        <v>14:53:29.218</v>
      </c>
      <c r="CJ2060">
        <v>3</v>
      </c>
      <c r="CK2060">
        <v>2</v>
      </c>
      <c r="CL2060">
        <v>0</v>
      </c>
      <c r="CM2060">
        <v>2</v>
      </c>
      <c r="CN2060">
        <v>0</v>
      </c>
      <c r="CO2060">
        <v>6</v>
      </c>
      <c r="CP2060" t="s">
        <v>119</v>
      </c>
      <c r="CQ2060">
        <v>232</v>
      </c>
      <c r="CR2060">
        <v>1</v>
      </c>
      <c r="CW2060">
        <v>15810014</v>
      </c>
      <c r="CY2060">
        <v>1</v>
      </c>
      <c r="CZ2060">
        <v>0</v>
      </c>
      <c r="DA2060">
        <v>1</v>
      </c>
      <c r="DB2060">
        <v>0</v>
      </c>
      <c r="DC2060">
        <v>0</v>
      </c>
      <c r="DD2060">
        <v>1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3">
      <c r="A2061" t="str">
        <f>"12/16/2021 14:53:29.502"</f>
        <v>12/16/2021 14:53:29.502</v>
      </c>
      <c r="C2061" t="str">
        <f t="shared" si="100"/>
        <v>FFDFD3C0</v>
      </c>
      <c r="D2061" t="s">
        <v>133</v>
      </c>
      <c r="E2061">
        <v>44</v>
      </c>
      <c r="H2061">
        <v>131</v>
      </c>
      <c r="I2061" t="s">
        <v>134</v>
      </c>
      <c r="J2061" t="s">
        <v>135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>"14:53:29.211"</f>
        <v>14:53:29.211</v>
      </c>
      <c r="T2061" t="str">
        <f>"14:53:28.711"</f>
        <v>14:53:28.711</v>
      </c>
      <c r="U2061" t="str">
        <f t="shared" si="102"/>
        <v>A0F928</v>
      </c>
      <c r="V2061">
        <v>0</v>
      </c>
      <c r="W2061">
        <v>0</v>
      </c>
      <c r="X2061">
        <v>2</v>
      </c>
      <c r="Z2061">
        <v>0</v>
      </c>
      <c r="AA2061">
        <v>9</v>
      </c>
      <c r="AB2061">
        <v>3</v>
      </c>
      <c r="AC2061">
        <v>0</v>
      </c>
      <c r="AD2061">
        <v>10</v>
      </c>
      <c r="AE2061">
        <v>0</v>
      </c>
      <c r="AF2061">
        <v>3</v>
      </c>
      <c r="AG2061">
        <v>2</v>
      </c>
      <c r="AH2061">
        <v>1</v>
      </c>
      <c r="AI2061" t="s">
        <v>1080</v>
      </c>
      <c r="AJ2061">
        <v>35.857228999999997</v>
      </c>
      <c r="AK2061" t="s">
        <v>1081</v>
      </c>
      <c r="AL2061">
        <v>-83.966960999999998</v>
      </c>
      <c r="AM2061">
        <v>25</v>
      </c>
      <c r="AN2061">
        <v>1275</v>
      </c>
      <c r="AO2061" t="s">
        <v>118</v>
      </c>
      <c r="AP2061">
        <v>87</v>
      </c>
      <c r="AQ2061">
        <v>-60</v>
      </c>
      <c r="AR2061">
        <v>-640</v>
      </c>
      <c r="AZ2061">
        <v>300</v>
      </c>
      <c r="BA2061">
        <v>1</v>
      </c>
      <c r="BB2061" t="str">
        <f t="shared" si="101"/>
        <v xml:space="preserve">N162AM  </v>
      </c>
      <c r="BC2061">
        <v>1</v>
      </c>
      <c r="BE2061">
        <v>0</v>
      </c>
      <c r="BF2061">
        <v>0</v>
      </c>
      <c r="BG2061">
        <v>0</v>
      </c>
      <c r="BH2061">
        <v>1550</v>
      </c>
      <c r="BI2061">
        <v>1</v>
      </c>
      <c r="BJ2061">
        <v>1</v>
      </c>
      <c r="BK2061">
        <v>1</v>
      </c>
      <c r="BL2061">
        <v>0</v>
      </c>
      <c r="BO2061">
        <v>0</v>
      </c>
      <c r="BP2061">
        <v>0</v>
      </c>
      <c r="BW2061" t="str">
        <f>"14:53:29.218"</f>
        <v>14:53:29.218</v>
      </c>
      <c r="CJ2061">
        <v>3</v>
      </c>
      <c r="CK2061">
        <v>2</v>
      </c>
      <c r="CL2061">
        <v>0</v>
      </c>
      <c r="CM2061">
        <v>2</v>
      </c>
      <c r="CN2061">
        <v>0</v>
      </c>
      <c r="CO2061">
        <v>6</v>
      </c>
      <c r="CP2061" t="s">
        <v>119</v>
      </c>
      <c r="CQ2061">
        <v>232</v>
      </c>
      <c r="CR2061">
        <v>1</v>
      </c>
      <c r="CW2061">
        <v>15810014</v>
      </c>
      <c r="CY2061">
        <v>1</v>
      </c>
      <c r="CZ2061">
        <v>0</v>
      </c>
      <c r="DA2061">
        <v>1</v>
      </c>
      <c r="DB2061">
        <v>0</v>
      </c>
      <c r="DC2061">
        <v>0</v>
      </c>
      <c r="DD2061">
        <v>1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3">
      <c r="A2062" t="str">
        <f>"12/16/2021 14:53:30.368"</f>
        <v>12/16/2021 14:53:30.368</v>
      </c>
      <c r="C2062" t="str">
        <f t="shared" si="100"/>
        <v>FFDFD3C0</v>
      </c>
      <c r="D2062" t="s">
        <v>124</v>
      </c>
      <c r="E2062">
        <v>5</v>
      </c>
      <c r="F2062">
        <v>1005</v>
      </c>
      <c r="G2062" t="s">
        <v>114</v>
      </c>
      <c r="J2062" t="s">
        <v>125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>"14:53:30.148"</f>
        <v>14:53:30.148</v>
      </c>
      <c r="T2062" t="str">
        <f>"14:53:29.748"</f>
        <v>14:53:29.748</v>
      </c>
      <c r="U2062" t="str">
        <f t="shared" si="102"/>
        <v>A0F928</v>
      </c>
      <c r="V2062">
        <v>0</v>
      </c>
      <c r="W2062">
        <v>0</v>
      </c>
      <c r="X2062">
        <v>2</v>
      </c>
      <c r="Z2062">
        <v>0</v>
      </c>
      <c r="AA2062">
        <v>9</v>
      </c>
      <c r="AB2062">
        <v>3</v>
      </c>
      <c r="AC2062">
        <v>0</v>
      </c>
      <c r="AD2062">
        <v>10</v>
      </c>
      <c r="AE2062">
        <v>0</v>
      </c>
      <c r="AF2062">
        <v>3</v>
      </c>
      <c r="AG2062">
        <v>2</v>
      </c>
      <c r="AH2062">
        <v>1</v>
      </c>
      <c r="AI2062" t="s">
        <v>1082</v>
      </c>
      <c r="AJ2062">
        <v>35.856949999999998</v>
      </c>
      <c r="AK2062" t="s">
        <v>1083</v>
      </c>
      <c r="AL2062">
        <v>-83.96651</v>
      </c>
      <c r="AM2062">
        <v>25</v>
      </c>
      <c r="AN2062">
        <v>1275</v>
      </c>
      <c r="AO2062" t="s">
        <v>118</v>
      </c>
      <c r="AP2062">
        <v>84</v>
      </c>
      <c r="AQ2062">
        <v>-64</v>
      </c>
      <c r="AR2062">
        <v>-704</v>
      </c>
      <c r="AZ2062">
        <v>300</v>
      </c>
      <c r="BA2062">
        <v>1</v>
      </c>
      <c r="BB2062" t="str">
        <f t="shared" si="101"/>
        <v xml:space="preserve">N162AM  </v>
      </c>
      <c r="BC2062">
        <v>1</v>
      </c>
      <c r="BE2062">
        <v>0</v>
      </c>
      <c r="BF2062">
        <v>0</v>
      </c>
      <c r="BG2062">
        <v>0</v>
      </c>
      <c r="BH2062">
        <v>1525</v>
      </c>
      <c r="BI2062">
        <v>1</v>
      </c>
      <c r="BJ2062">
        <v>1</v>
      </c>
      <c r="BK2062">
        <v>1</v>
      </c>
      <c r="BL2062">
        <v>0</v>
      </c>
      <c r="BO2062">
        <v>0</v>
      </c>
      <c r="BP2062">
        <v>0</v>
      </c>
      <c r="BW2062" t="str">
        <f>"14:53:30.150"</f>
        <v>14:53:30.150</v>
      </c>
      <c r="CJ2062">
        <v>3</v>
      </c>
      <c r="CK2062">
        <v>2</v>
      </c>
      <c r="CL2062">
        <v>0</v>
      </c>
      <c r="CM2062">
        <v>2</v>
      </c>
      <c r="CN2062">
        <v>0</v>
      </c>
      <c r="CO2062">
        <v>7</v>
      </c>
      <c r="CP2062" t="s">
        <v>119</v>
      </c>
      <c r="CQ2062">
        <v>232</v>
      </c>
      <c r="CR2062">
        <v>1</v>
      </c>
      <c r="CW2062">
        <v>15811350</v>
      </c>
      <c r="CY2062">
        <v>1</v>
      </c>
      <c r="CZ2062">
        <v>0</v>
      </c>
      <c r="DA2062">
        <v>0</v>
      </c>
      <c r="DB2062">
        <v>0</v>
      </c>
      <c r="DC2062">
        <v>0</v>
      </c>
      <c r="DD2062">
        <v>1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3">
      <c r="A2063" t="str">
        <f>"12/16/2021 14:53:30.384"</f>
        <v>12/16/2021 14:53:30.384</v>
      </c>
      <c r="C2063" t="str">
        <f t="shared" si="100"/>
        <v>FFDFD3C0</v>
      </c>
      <c r="D2063" t="s">
        <v>124</v>
      </c>
      <c r="E2063">
        <v>10</v>
      </c>
      <c r="F2063">
        <v>1010</v>
      </c>
      <c r="G2063" t="s">
        <v>130</v>
      </c>
      <c r="J2063" t="s">
        <v>125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>"14:53:30.148"</f>
        <v>14:53:30.148</v>
      </c>
      <c r="T2063" t="str">
        <f>"14:53:29.748"</f>
        <v>14:53:29.748</v>
      </c>
      <c r="U2063" t="str">
        <f t="shared" si="102"/>
        <v>A0F928</v>
      </c>
      <c r="V2063">
        <v>0</v>
      </c>
      <c r="W2063">
        <v>0</v>
      </c>
      <c r="X2063">
        <v>2</v>
      </c>
      <c r="Z2063">
        <v>0</v>
      </c>
      <c r="AA2063">
        <v>9</v>
      </c>
      <c r="AB2063">
        <v>3</v>
      </c>
      <c r="AC2063">
        <v>0</v>
      </c>
      <c r="AD2063">
        <v>10</v>
      </c>
      <c r="AE2063">
        <v>0</v>
      </c>
      <c r="AF2063">
        <v>0</v>
      </c>
      <c r="AG2063">
        <v>2</v>
      </c>
      <c r="AH2063">
        <v>1</v>
      </c>
      <c r="AI2063" t="s">
        <v>1082</v>
      </c>
      <c r="AJ2063">
        <v>35.856949999999998</v>
      </c>
      <c r="AK2063" t="s">
        <v>1083</v>
      </c>
      <c r="AL2063">
        <v>-83.96651</v>
      </c>
      <c r="AM2063">
        <v>25</v>
      </c>
      <c r="AN2063">
        <v>1275</v>
      </c>
      <c r="AO2063" t="s">
        <v>118</v>
      </c>
      <c r="AP2063">
        <v>84</v>
      </c>
      <c r="AQ2063">
        <v>-64</v>
      </c>
      <c r="AR2063">
        <v>-704</v>
      </c>
      <c r="AZ2063">
        <v>300</v>
      </c>
      <c r="BA2063">
        <v>1</v>
      </c>
      <c r="BB2063" t="str">
        <f t="shared" si="101"/>
        <v xml:space="preserve">N162AM  </v>
      </c>
      <c r="BC2063">
        <v>1</v>
      </c>
      <c r="BE2063">
        <v>0</v>
      </c>
      <c r="BF2063">
        <v>0</v>
      </c>
      <c r="BG2063">
        <v>0</v>
      </c>
      <c r="BH2063">
        <v>1525</v>
      </c>
      <c r="BI2063">
        <v>1</v>
      </c>
      <c r="BJ2063">
        <v>1</v>
      </c>
      <c r="BK2063">
        <v>1</v>
      </c>
      <c r="BL2063">
        <v>0</v>
      </c>
      <c r="BO2063">
        <v>0</v>
      </c>
      <c r="BP2063">
        <v>0</v>
      </c>
      <c r="BW2063" t="str">
        <f>"14:53:30.150"</f>
        <v>14:53:30.150</v>
      </c>
      <c r="CJ2063">
        <v>2</v>
      </c>
      <c r="CK2063">
        <v>2</v>
      </c>
      <c r="CL2063">
        <v>0</v>
      </c>
      <c r="CM2063">
        <v>2</v>
      </c>
      <c r="CN2063">
        <v>0</v>
      </c>
      <c r="CO2063">
        <v>7</v>
      </c>
      <c r="CP2063" t="s">
        <v>119</v>
      </c>
      <c r="CQ2063">
        <v>232</v>
      </c>
      <c r="CR2063">
        <v>1</v>
      </c>
      <c r="CW2063">
        <v>15811350</v>
      </c>
      <c r="CY2063">
        <v>1</v>
      </c>
      <c r="CZ2063">
        <v>0</v>
      </c>
      <c r="DA2063">
        <v>1</v>
      </c>
      <c r="DB2063">
        <v>0</v>
      </c>
      <c r="DC2063">
        <v>0</v>
      </c>
      <c r="DD2063">
        <v>1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3">
      <c r="A2064" t="str">
        <f>"12/16/2021 14:53:30.384"</f>
        <v>12/16/2021 14:53:30.384</v>
      </c>
      <c r="C2064" t="str">
        <f t="shared" si="100"/>
        <v>FFDFD3C0</v>
      </c>
      <c r="D2064" t="s">
        <v>113</v>
      </c>
      <c r="E2064">
        <v>8</v>
      </c>
      <c r="H2064">
        <v>176</v>
      </c>
      <c r="I2064" t="s">
        <v>114</v>
      </c>
      <c r="J2064" t="s">
        <v>115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>"14:53:30.148"</f>
        <v>14:53:30.148</v>
      </c>
      <c r="T2064" t="str">
        <f>"14:53:29.748"</f>
        <v>14:53:29.748</v>
      </c>
      <c r="U2064" t="str">
        <f t="shared" si="102"/>
        <v>A0F928</v>
      </c>
      <c r="V2064">
        <v>0</v>
      </c>
      <c r="W2064">
        <v>0</v>
      </c>
      <c r="X2064">
        <v>2</v>
      </c>
      <c r="Z2064">
        <v>0</v>
      </c>
      <c r="AA2064">
        <v>9</v>
      </c>
      <c r="AB2064">
        <v>3</v>
      </c>
      <c r="AC2064">
        <v>0</v>
      </c>
      <c r="AD2064">
        <v>10</v>
      </c>
      <c r="AE2064">
        <v>0</v>
      </c>
      <c r="AF2064">
        <v>3</v>
      </c>
      <c r="AG2064">
        <v>2</v>
      </c>
      <c r="AH2064">
        <v>1</v>
      </c>
      <c r="AI2064" t="s">
        <v>1082</v>
      </c>
      <c r="AJ2064">
        <v>35.856949999999998</v>
      </c>
      <c r="AK2064" t="s">
        <v>1083</v>
      </c>
      <c r="AL2064">
        <v>-83.96651</v>
      </c>
      <c r="AM2064">
        <v>25</v>
      </c>
      <c r="AN2064">
        <v>1275</v>
      </c>
      <c r="AO2064" t="s">
        <v>118</v>
      </c>
      <c r="AP2064">
        <v>84</v>
      </c>
      <c r="AQ2064">
        <v>-64</v>
      </c>
      <c r="AR2064">
        <v>-704</v>
      </c>
      <c r="AZ2064">
        <v>300</v>
      </c>
      <c r="BA2064">
        <v>1</v>
      </c>
      <c r="BB2064" t="str">
        <f t="shared" si="101"/>
        <v xml:space="preserve">N162AM  </v>
      </c>
      <c r="BC2064">
        <v>1</v>
      </c>
      <c r="BE2064">
        <v>0</v>
      </c>
      <c r="BF2064">
        <v>0</v>
      </c>
      <c r="BG2064">
        <v>0</v>
      </c>
      <c r="BH2064">
        <v>1525</v>
      </c>
      <c r="BI2064">
        <v>1</v>
      </c>
      <c r="BJ2064">
        <v>1</v>
      </c>
      <c r="BK2064">
        <v>1</v>
      </c>
      <c r="BL2064">
        <v>0</v>
      </c>
      <c r="BO2064">
        <v>0</v>
      </c>
      <c r="BP2064">
        <v>0</v>
      </c>
      <c r="BW2064" t="str">
        <f>"14:53:30.150"</f>
        <v>14:53:30.150</v>
      </c>
      <c r="CJ2064">
        <v>3</v>
      </c>
      <c r="CK2064">
        <v>2</v>
      </c>
      <c r="CL2064">
        <v>0</v>
      </c>
      <c r="CM2064">
        <v>2</v>
      </c>
      <c r="CN2064">
        <v>0</v>
      </c>
      <c r="CO2064">
        <v>7</v>
      </c>
      <c r="CP2064" t="s">
        <v>119</v>
      </c>
      <c r="CQ2064">
        <v>232</v>
      </c>
      <c r="CR2064">
        <v>1</v>
      </c>
      <c r="CW2064">
        <v>15811350</v>
      </c>
      <c r="CY2064">
        <v>1</v>
      </c>
      <c r="CZ2064">
        <v>0</v>
      </c>
      <c r="DA2064">
        <v>1</v>
      </c>
      <c r="DB2064">
        <v>0</v>
      </c>
      <c r="DC2064">
        <v>0</v>
      </c>
      <c r="DD2064">
        <v>1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3">
      <c r="A2065" t="str">
        <f>"12/16/2021 14:53:30.384"</f>
        <v>12/16/2021 14:53:30.384</v>
      </c>
      <c r="C2065" t="str">
        <f t="shared" si="100"/>
        <v>FFDFD3C0</v>
      </c>
      <c r="D2065" t="s">
        <v>133</v>
      </c>
      <c r="E2065">
        <v>44</v>
      </c>
      <c r="H2065">
        <v>131</v>
      </c>
      <c r="I2065" t="s">
        <v>134</v>
      </c>
      <c r="J2065" t="s">
        <v>135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>"14:53:30.148"</f>
        <v>14:53:30.148</v>
      </c>
      <c r="T2065" t="str">
        <f>"14:53:29.748"</f>
        <v>14:53:29.748</v>
      </c>
      <c r="U2065" t="str">
        <f t="shared" si="102"/>
        <v>A0F928</v>
      </c>
      <c r="V2065">
        <v>0</v>
      </c>
      <c r="W2065">
        <v>0</v>
      </c>
      <c r="X2065">
        <v>2</v>
      </c>
      <c r="Z2065">
        <v>0</v>
      </c>
      <c r="AA2065">
        <v>9</v>
      </c>
      <c r="AB2065">
        <v>3</v>
      </c>
      <c r="AC2065">
        <v>0</v>
      </c>
      <c r="AD2065">
        <v>10</v>
      </c>
      <c r="AE2065">
        <v>0</v>
      </c>
      <c r="AF2065">
        <v>3</v>
      </c>
      <c r="AG2065">
        <v>2</v>
      </c>
      <c r="AH2065">
        <v>1</v>
      </c>
      <c r="AI2065" t="s">
        <v>1082</v>
      </c>
      <c r="AJ2065">
        <v>35.856949999999998</v>
      </c>
      <c r="AK2065" t="s">
        <v>1083</v>
      </c>
      <c r="AL2065">
        <v>-83.96651</v>
      </c>
      <c r="AM2065">
        <v>25</v>
      </c>
      <c r="AN2065">
        <v>1275</v>
      </c>
      <c r="AO2065" t="s">
        <v>118</v>
      </c>
      <c r="AP2065">
        <v>84</v>
      </c>
      <c r="AQ2065">
        <v>-64</v>
      </c>
      <c r="AR2065">
        <v>-704</v>
      </c>
      <c r="AZ2065">
        <v>300</v>
      </c>
      <c r="BA2065">
        <v>1</v>
      </c>
      <c r="BB2065" t="str">
        <f t="shared" si="101"/>
        <v xml:space="preserve">N162AM  </v>
      </c>
      <c r="BC2065">
        <v>1</v>
      </c>
      <c r="BE2065">
        <v>0</v>
      </c>
      <c r="BF2065">
        <v>0</v>
      </c>
      <c r="BG2065">
        <v>0</v>
      </c>
      <c r="BH2065">
        <v>1525</v>
      </c>
      <c r="BI2065">
        <v>1</v>
      </c>
      <c r="BJ2065">
        <v>1</v>
      </c>
      <c r="BK2065">
        <v>1</v>
      </c>
      <c r="BL2065">
        <v>0</v>
      </c>
      <c r="BO2065">
        <v>0</v>
      </c>
      <c r="BP2065">
        <v>0</v>
      </c>
      <c r="BW2065" t="str">
        <f>"14:53:30.150"</f>
        <v>14:53:30.150</v>
      </c>
      <c r="CJ2065">
        <v>3</v>
      </c>
      <c r="CK2065">
        <v>2</v>
      </c>
      <c r="CL2065">
        <v>0</v>
      </c>
      <c r="CM2065">
        <v>2</v>
      </c>
      <c r="CN2065">
        <v>0</v>
      </c>
      <c r="CO2065">
        <v>7</v>
      </c>
      <c r="CP2065" t="s">
        <v>119</v>
      </c>
      <c r="CQ2065">
        <v>232</v>
      </c>
      <c r="CR2065">
        <v>1</v>
      </c>
      <c r="CW2065">
        <v>15811350</v>
      </c>
      <c r="CY2065">
        <v>1</v>
      </c>
      <c r="CZ2065">
        <v>0</v>
      </c>
      <c r="DA2065">
        <v>1</v>
      </c>
      <c r="DB2065">
        <v>0</v>
      </c>
      <c r="DC2065">
        <v>0</v>
      </c>
      <c r="DD2065">
        <v>1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3">
      <c r="A2066" t="str">
        <f>"12/16/2021 14:53:31.384"</f>
        <v>12/16/2021 14:53:31.384</v>
      </c>
      <c r="C2066" t="str">
        <f t="shared" si="100"/>
        <v>FFDFD3C0</v>
      </c>
      <c r="D2066" t="s">
        <v>113</v>
      </c>
      <c r="E2066">
        <v>8</v>
      </c>
      <c r="H2066">
        <v>176</v>
      </c>
      <c r="I2066" t="s">
        <v>114</v>
      </c>
      <c r="J2066" t="s">
        <v>115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>"14:53:31.195"</f>
        <v>14:53:31.195</v>
      </c>
      <c r="T2066" t="str">
        <f>"14:53:30.695"</f>
        <v>14:53:30.695</v>
      </c>
      <c r="U2066" t="str">
        <f t="shared" si="102"/>
        <v>A0F928</v>
      </c>
      <c r="V2066">
        <v>0</v>
      </c>
      <c r="W2066">
        <v>0</v>
      </c>
      <c r="X2066">
        <v>2</v>
      </c>
      <c r="Z2066">
        <v>0</v>
      </c>
      <c r="AA2066">
        <v>9</v>
      </c>
      <c r="AB2066">
        <v>3</v>
      </c>
      <c r="AC2066">
        <v>0</v>
      </c>
      <c r="AD2066">
        <v>10</v>
      </c>
      <c r="AE2066">
        <v>0</v>
      </c>
      <c r="AF2066">
        <v>3</v>
      </c>
      <c r="AG2066">
        <v>2</v>
      </c>
      <c r="AH2066">
        <v>1</v>
      </c>
      <c r="AI2066" t="s">
        <v>1084</v>
      </c>
      <c r="AJ2066">
        <v>35.856586</v>
      </c>
      <c r="AK2066" t="s">
        <v>1085</v>
      </c>
      <c r="AL2066">
        <v>-83.966037999999998</v>
      </c>
      <c r="AM2066">
        <v>25</v>
      </c>
      <c r="AN2066">
        <v>1250</v>
      </c>
      <c r="AO2066" t="s">
        <v>118</v>
      </c>
      <c r="AP2066">
        <v>82</v>
      </c>
      <c r="AQ2066">
        <v>-67</v>
      </c>
      <c r="AR2066">
        <v>-768</v>
      </c>
      <c r="AZ2066">
        <v>300</v>
      </c>
      <c r="BA2066">
        <v>1</v>
      </c>
      <c r="BB2066" t="str">
        <f t="shared" si="101"/>
        <v xml:space="preserve">N162AM  </v>
      </c>
      <c r="BC2066">
        <v>1</v>
      </c>
      <c r="BE2066">
        <v>0</v>
      </c>
      <c r="BF2066">
        <v>0</v>
      </c>
      <c r="BG2066">
        <v>0</v>
      </c>
      <c r="BH2066">
        <v>1525</v>
      </c>
      <c r="BI2066">
        <v>1</v>
      </c>
      <c r="BJ2066">
        <v>1</v>
      </c>
      <c r="BK2066">
        <v>1</v>
      </c>
      <c r="BL2066">
        <v>0</v>
      </c>
      <c r="BO2066">
        <v>0</v>
      </c>
      <c r="BP2066">
        <v>0</v>
      </c>
      <c r="BW2066" t="str">
        <f>"14:53:31.201"</f>
        <v>14:53:31.201</v>
      </c>
      <c r="CJ2066">
        <v>3</v>
      </c>
      <c r="CK2066">
        <v>2</v>
      </c>
      <c r="CL2066">
        <v>0</v>
      </c>
      <c r="CM2066">
        <v>2</v>
      </c>
      <c r="CN2066">
        <v>0</v>
      </c>
      <c r="CO2066">
        <v>7</v>
      </c>
      <c r="CP2066" t="s">
        <v>119</v>
      </c>
      <c r="CQ2066">
        <v>232</v>
      </c>
      <c r="CR2066">
        <v>2</v>
      </c>
      <c r="CW2066">
        <v>7030310</v>
      </c>
      <c r="CY2066">
        <v>1</v>
      </c>
      <c r="CZ2066">
        <v>0</v>
      </c>
      <c r="DA2066">
        <v>0</v>
      </c>
      <c r="DB2066">
        <v>0</v>
      </c>
      <c r="DC2066">
        <v>0</v>
      </c>
      <c r="DD2066">
        <v>1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3">
      <c r="A2067" t="str">
        <f>"12/16/2021 14:53:31.384"</f>
        <v>12/16/2021 14:53:31.384</v>
      </c>
      <c r="C2067" t="str">
        <f t="shared" si="100"/>
        <v>FFDFD3C0</v>
      </c>
      <c r="D2067" t="s">
        <v>133</v>
      </c>
      <c r="E2067">
        <v>44</v>
      </c>
      <c r="H2067">
        <v>131</v>
      </c>
      <c r="I2067" t="s">
        <v>134</v>
      </c>
      <c r="J2067" t="s">
        <v>135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>"14:53:31.195"</f>
        <v>14:53:31.195</v>
      </c>
      <c r="T2067" t="str">
        <f>"14:53:30.695"</f>
        <v>14:53:30.695</v>
      </c>
      <c r="U2067" t="str">
        <f t="shared" si="102"/>
        <v>A0F928</v>
      </c>
      <c r="V2067">
        <v>0</v>
      </c>
      <c r="W2067">
        <v>0</v>
      </c>
      <c r="X2067">
        <v>2</v>
      </c>
      <c r="Z2067">
        <v>0</v>
      </c>
      <c r="AA2067">
        <v>9</v>
      </c>
      <c r="AB2067">
        <v>3</v>
      </c>
      <c r="AC2067">
        <v>0</v>
      </c>
      <c r="AD2067">
        <v>10</v>
      </c>
      <c r="AE2067">
        <v>0</v>
      </c>
      <c r="AF2067">
        <v>3</v>
      </c>
      <c r="AG2067">
        <v>2</v>
      </c>
      <c r="AH2067">
        <v>1</v>
      </c>
      <c r="AI2067" t="s">
        <v>1084</v>
      </c>
      <c r="AJ2067">
        <v>35.856586</v>
      </c>
      <c r="AK2067" t="s">
        <v>1085</v>
      </c>
      <c r="AL2067">
        <v>-83.966037999999998</v>
      </c>
      <c r="AM2067">
        <v>25</v>
      </c>
      <c r="AN2067">
        <v>1250</v>
      </c>
      <c r="AO2067" t="s">
        <v>118</v>
      </c>
      <c r="AP2067">
        <v>82</v>
      </c>
      <c r="AQ2067">
        <v>-67</v>
      </c>
      <c r="AR2067">
        <v>-768</v>
      </c>
      <c r="AZ2067">
        <v>300</v>
      </c>
      <c r="BA2067">
        <v>1</v>
      </c>
      <c r="BB2067" t="str">
        <f t="shared" si="101"/>
        <v xml:space="preserve">N162AM  </v>
      </c>
      <c r="BC2067">
        <v>1</v>
      </c>
      <c r="BE2067">
        <v>0</v>
      </c>
      <c r="BF2067">
        <v>0</v>
      </c>
      <c r="BG2067">
        <v>0</v>
      </c>
      <c r="BH2067">
        <v>1525</v>
      </c>
      <c r="BI2067">
        <v>1</v>
      </c>
      <c r="BJ2067">
        <v>1</v>
      </c>
      <c r="BK2067">
        <v>1</v>
      </c>
      <c r="BL2067">
        <v>0</v>
      </c>
      <c r="BO2067">
        <v>0</v>
      </c>
      <c r="BP2067">
        <v>0</v>
      </c>
      <c r="BW2067" t="str">
        <f>"14:53:31.201"</f>
        <v>14:53:31.201</v>
      </c>
      <c r="CJ2067">
        <v>3</v>
      </c>
      <c r="CK2067">
        <v>2</v>
      </c>
      <c r="CL2067">
        <v>0</v>
      </c>
      <c r="CM2067">
        <v>2</v>
      </c>
      <c r="CN2067">
        <v>0</v>
      </c>
      <c r="CO2067">
        <v>7</v>
      </c>
      <c r="CP2067" t="s">
        <v>119</v>
      </c>
      <c r="CQ2067">
        <v>232</v>
      </c>
      <c r="CR2067">
        <v>2</v>
      </c>
      <c r="CW2067">
        <v>7030310</v>
      </c>
      <c r="CY2067">
        <v>1</v>
      </c>
      <c r="CZ2067">
        <v>0</v>
      </c>
      <c r="DA2067">
        <v>1</v>
      </c>
      <c r="DB2067">
        <v>0</v>
      </c>
      <c r="DC2067">
        <v>0</v>
      </c>
      <c r="DD2067">
        <v>1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3">
      <c r="A2068" t="str">
        <f>"12/16/2021 14:53:31.415"</f>
        <v>12/16/2021 14:53:31.415</v>
      </c>
      <c r="C2068" t="str">
        <f t="shared" si="100"/>
        <v>FFDFD3C0</v>
      </c>
      <c r="D2068" t="s">
        <v>124</v>
      </c>
      <c r="E2068">
        <v>5</v>
      </c>
      <c r="F2068">
        <v>1005</v>
      </c>
      <c r="G2068" t="s">
        <v>114</v>
      </c>
      <c r="J2068" t="s">
        <v>125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>"14:53:31.195"</f>
        <v>14:53:31.195</v>
      </c>
      <c r="T2068" t="str">
        <f>"14:53:30.695"</f>
        <v>14:53:30.695</v>
      </c>
      <c r="U2068" t="str">
        <f t="shared" si="102"/>
        <v>A0F928</v>
      </c>
      <c r="V2068">
        <v>0</v>
      </c>
      <c r="W2068">
        <v>0</v>
      </c>
      <c r="X2068">
        <v>2</v>
      </c>
      <c r="Z2068">
        <v>0</v>
      </c>
      <c r="AA2068">
        <v>9</v>
      </c>
      <c r="AB2068">
        <v>3</v>
      </c>
      <c r="AC2068">
        <v>0</v>
      </c>
      <c r="AD2068">
        <v>10</v>
      </c>
      <c r="AE2068">
        <v>0</v>
      </c>
      <c r="AF2068">
        <v>3</v>
      </c>
      <c r="AG2068">
        <v>2</v>
      </c>
      <c r="AH2068">
        <v>1</v>
      </c>
      <c r="AI2068" t="s">
        <v>1084</v>
      </c>
      <c r="AJ2068">
        <v>35.856586</v>
      </c>
      <c r="AK2068" t="s">
        <v>1085</v>
      </c>
      <c r="AL2068">
        <v>-83.966037999999998</v>
      </c>
      <c r="AM2068">
        <v>25</v>
      </c>
      <c r="AN2068">
        <v>1250</v>
      </c>
      <c r="AO2068" t="s">
        <v>118</v>
      </c>
      <c r="AP2068">
        <v>82</v>
      </c>
      <c r="AQ2068">
        <v>-67</v>
      </c>
      <c r="AR2068">
        <v>-768</v>
      </c>
      <c r="AZ2068">
        <v>300</v>
      </c>
      <c r="BA2068">
        <v>1</v>
      </c>
      <c r="BB2068" t="str">
        <f t="shared" si="101"/>
        <v xml:space="preserve">N162AM  </v>
      </c>
      <c r="BC2068">
        <v>1</v>
      </c>
      <c r="BE2068">
        <v>0</v>
      </c>
      <c r="BF2068">
        <v>0</v>
      </c>
      <c r="BG2068">
        <v>0</v>
      </c>
      <c r="BH2068">
        <v>1525</v>
      </c>
      <c r="BI2068">
        <v>1</v>
      </c>
      <c r="BJ2068">
        <v>1</v>
      </c>
      <c r="BK2068">
        <v>1</v>
      </c>
      <c r="BL2068">
        <v>0</v>
      </c>
      <c r="BO2068">
        <v>0</v>
      </c>
      <c r="BP2068">
        <v>0</v>
      </c>
      <c r="BW2068" t="str">
        <f>"14:53:31.201"</f>
        <v>14:53:31.201</v>
      </c>
      <c r="CJ2068">
        <v>3</v>
      </c>
      <c r="CK2068">
        <v>2</v>
      </c>
      <c r="CL2068">
        <v>0</v>
      </c>
      <c r="CM2068">
        <v>2</v>
      </c>
      <c r="CN2068">
        <v>0</v>
      </c>
      <c r="CO2068">
        <v>7</v>
      </c>
      <c r="CP2068" t="s">
        <v>119</v>
      </c>
      <c r="CQ2068">
        <v>232</v>
      </c>
      <c r="CR2068">
        <v>2</v>
      </c>
      <c r="CW2068">
        <v>7030310</v>
      </c>
      <c r="CY2068">
        <v>1</v>
      </c>
      <c r="CZ2068">
        <v>0</v>
      </c>
      <c r="DA2068">
        <v>1</v>
      </c>
      <c r="DB2068">
        <v>0</v>
      </c>
      <c r="DC2068">
        <v>0</v>
      </c>
      <c r="DD2068">
        <v>1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3">
      <c r="A2069" t="str">
        <f>"12/16/2021 14:53:31.415"</f>
        <v>12/16/2021 14:53:31.415</v>
      </c>
      <c r="C2069" t="str">
        <f t="shared" si="100"/>
        <v>FFDFD3C0</v>
      </c>
      <c r="D2069" t="s">
        <v>124</v>
      </c>
      <c r="E2069">
        <v>10</v>
      </c>
      <c r="F2069">
        <v>1010</v>
      </c>
      <c r="G2069" t="s">
        <v>130</v>
      </c>
      <c r="J2069" t="s">
        <v>125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>"14:53:31.195"</f>
        <v>14:53:31.195</v>
      </c>
      <c r="T2069" t="str">
        <f>"14:53:30.695"</f>
        <v>14:53:30.695</v>
      </c>
      <c r="U2069" t="str">
        <f t="shared" si="102"/>
        <v>A0F928</v>
      </c>
      <c r="V2069">
        <v>0</v>
      </c>
      <c r="W2069">
        <v>0</v>
      </c>
      <c r="X2069">
        <v>2</v>
      </c>
      <c r="Z2069">
        <v>0</v>
      </c>
      <c r="AA2069">
        <v>9</v>
      </c>
      <c r="AB2069">
        <v>3</v>
      </c>
      <c r="AC2069">
        <v>0</v>
      </c>
      <c r="AD2069">
        <v>10</v>
      </c>
      <c r="AE2069">
        <v>0</v>
      </c>
      <c r="AF2069">
        <v>0</v>
      </c>
      <c r="AG2069">
        <v>2</v>
      </c>
      <c r="AH2069">
        <v>1</v>
      </c>
      <c r="AI2069" t="s">
        <v>1084</v>
      </c>
      <c r="AJ2069">
        <v>35.856586</v>
      </c>
      <c r="AK2069" t="s">
        <v>1085</v>
      </c>
      <c r="AL2069">
        <v>-83.966037999999998</v>
      </c>
      <c r="AM2069">
        <v>25</v>
      </c>
      <c r="AN2069">
        <v>1250</v>
      </c>
      <c r="AO2069" t="s">
        <v>118</v>
      </c>
      <c r="AP2069">
        <v>82</v>
      </c>
      <c r="AQ2069">
        <v>-67</v>
      </c>
      <c r="AR2069">
        <v>-768</v>
      </c>
      <c r="AZ2069">
        <v>300</v>
      </c>
      <c r="BA2069">
        <v>1</v>
      </c>
      <c r="BB2069" t="str">
        <f t="shared" si="101"/>
        <v xml:space="preserve">N162AM  </v>
      </c>
      <c r="BC2069">
        <v>1</v>
      </c>
      <c r="BE2069">
        <v>0</v>
      </c>
      <c r="BF2069">
        <v>0</v>
      </c>
      <c r="BG2069">
        <v>0</v>
      </c>
      <c r="BH2069">
        <v>1525</v>
      </c>
      <c r="BI2069">
        <v>1</v>
      </c>
      <c r="BJ2069">
        <v>1</v>
      </c>
      <c r="BK2069">
        <v>1</v>
      </c>
      <c r="BL2069">
        <v>0</v>
      </c>
      <c r="BO2069">
        <v>0</v>
      </c>
      <c r="BP2069">
        <v>0</v>
      </c>
      <c r="BW2069" t="str">
        <f>"14:53:31.201"</f>
        <v>14:53:31.201</v>
      </c>
      <c r="CJ2069">
        <v>2</v>
      </c>
      <c r="CK2069">
        <v>2</v>
      </c>
      <c r="CL2069">
        <v>0</v>
      </c>
      <c r="CM2069">
        <v>2</v>
      </c>
      <c r="CN2069">
        <v>0</v>
      </c>
      <c r="CO2069">
        <v>7</v>
      </c>
      <c r="CP2069" t="s">
        <v>119</v>
      </c>
      <c r="CQ2069">
        <v>232</v>
      </c>
      <c r="CR2069">
        <v>2</v>
      </c>
      <c r="CW2069">
        <v>7030310</v>
      </c>
      <c r="CY2069">
        <v>1</v>
      </c>
      <c r="CZ2069">
        <v>0</v>
      </c>
      <c r="DA2069">
        <v>1</v>
      </c>
      <c r="DB2069">
        <v>0</v>
      </c>
      <c r="DC2069">
        <v>0</v>
      </c>
      <c r="DD2069">
        <v>1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3">
      <c r="A2070" t="str">
        <f>"12/16/2021 14:53:32.462"</f>
        <v>12/16/2021 14:53:32.462</v>
      </c>
      <c r="C2070" t="str">
        <f t="shared" si="100"/>
        <v>FFDFD3C0</v>
      </c>
      <c r="D2070" t="s">
        <v>113</v>
      </c>
      <c r="E2070">
        <v>8</v>
      </c>
      <c r="H2070">
        <v>176</v>
      </c>
      <c r="I2070" t="s">
        <v>114</v>
      </c>
      <c r="J2070" t="s">
        <v>115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>"14:53:32.234"</f>
        <v>14:53:32.234</v>
      </c>
      <c r="T2070" t="str">
        <f>"14:53:31.734"</f>
        <v>14:53:31.734</v>
      </c>
      <c r="U2070" t="str">
        <f t="shared" si="102"/>
        <v>A0F928</v>
      </c>
      <c r="V2070">
        <v>0</v>
      </c>
      <c r="W2070">
        <v>0</v>
      </c>
      <c r="X2070">
        <v>2</v>
      </c>
      <c r="Z2070">
        <v>0</v>
      </c>
      <c r="AA2070">
        <v>9</v>
      </c>
      <c r="AB2070">
        <v>3</v>
      </c>
      <c r="AC2070">
        <v>0</v>
      </c>
      <c r="AD2070">
        <v>10</v>
      </c>
      <c r="AE2070">
        <v>0</v>
      </c>
      <c r="AF2070">
        <v>3</v>
      </c>
      <c r="AG2070">
        <v>2</v>
      </c>
      <c r="AH2070">
        <v>1</v>
      </c>
      <c r="AI2070" t="s">
        <v>1086</v>
      </c>
      <c r="AJ2070">
        <v>35.856264000000003</v>
      </c>
      <c r="AK2070" t="s">
        <v>1087</v>
      </c>
      <c r="AL2070">
        <v>-83.965587999999997</v>
      </c>
      <c r="AM2070">
        <v>25</v>
      </c>
      <c r="AN2070">
        <v>1250</v>
      </c>
      <c r="AO2070" t="s">
        <v>118</v>
      </c>
      <c r="AP2070">
        <v>79</v>
      </c>
      <c r="AQ2070">
        <v>-72</v>
      </c>
      <c r="AR2070">
        <v>-704</v>
      </c>
      <c r="AZ2070">
        <v>300</v>
      </c>
      <c r="BA2070">
        <v>1</v>
      </c>
      <c r="BB2070" t="str">
        <f t="shared" si="101"/>
        <v xml:space="preserve">N162AM  </v>
      </c>
      <c r="BC2070">
        <v>1</v>
      </c>
      <c r="BE2070">
        <v>0</v>
      </c>
      <c r="BF2070">
        <v>0</v>
      </c>
      <c r="BG2070">
        <v>0</v>
      </c>
      <c r="BH2070">
        <v>1500</v>
      </c>
      <c r="BI2070">
        <v>1</v>
      </c>
      <c r="BJ2070">
        <v>1</v>
      </c>
      <c r="BK2070">
        <v>1</v>
      </c>
      <c r="BL2070">
        <v>0</v>
      </c>
      <c r="BO2070">
        <v>0</v>
      </c>
      <c r="BP2070">
        <v>0</v>
      </c>
      <c r="BW2070" t="str">
        <f>"14:53:32.236"</f>
        <v>14:53:32.236</v>
      </c>
      <c r="CJ2070">
        <v>3</v>
      </c>
      <c r="CK2070">
        <v>2</v>
      </c>
      <c r="CL2070">
        <v>0</v>
      </c>
      <c r="CM2070">
        <v>2</v>
      </c>
      <c r="CN2070">
        <v>0</v>
      </c>
      <c r="CO2070">
        <v>6</v>
      </c>
      <c r="CP2070" t="s">
        <v>119</v>
      </c>
      <c r="CQ2070">
        <v>232</v>
      </c>
      <c r="CR2070">
        <v>1</v>
      </c>
      <c r="CW2070">
        <v>15814532</v>
      </c>
      <c r="CY2070">
        <v>1</v>
      </c>
      <c r="CZ2070">
        <v>0</v>
      </c>
      <c r="DA2070">
        <v>0</v>
      </c>
      <c r="DB2070">
        <v>0</v>
      </c>
      <c r="DC2070">
        <v>0</v>
      </c>
      <c r="DD2070">
        <v>1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3">
      <c r="A2071" t="str">
        <f>"12/16/2021 14:53:32.462"</f>
        <v>12/16/2021 14:53:32.462</v>
      </c>
      <c r="C2071" t="str">
        <f t="shared" si="100"/>
        <v>FFDFD3C0</v>
      </c>
      <c r="D2071" t="s">
        <v>133</v>
      </c>
      <c r="E2071">
        <v>44</v>
      </c>
      <c r="H2071">
        <v>131</v>
      </c>
      <c r="I2071" t="s">
        <v>134</v>
      </c>
      <c r="J2071" t="s">
        <v>135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>"14:53:32.234"</f>
        <v>14:53:32.234</v>
      </c>
      <c r="T2071" t="str">
        <f>"14:53:31.734"</f>
        <v>14:53:31.734</v>
      </c>
      <c r="U2071" t="str">
        <f t="shared" si="102"/>
        <v>A0F928</v>
      </c>
      <c r="V2071">
        <v>0</v>
      </c>
      <c r="W2071">
        <v>0</v>
      </c>
      <c r="X2071">
        <v>2</v>
      </c>
      <c r="Z2071">
        <v>0</v>
      </c>
      <c r="AA2071">
        <v>9</v>
      </c>
      <c r="AB2071">
        <v>3</v>
      </c>
      <c r="AC2071">
        <v>0</v>
      </c>
      <c r="AD2071">
        <v>10</v>
      </c>
      <c r="AE2071">
        <v>0</v>
      </c>
      <c r="AF2071">
        <v>3</v>
      </c>
      <c r="AG2071">
        <v>2</v>
      </c>
      <c r="AH2071">
        <v>1</v>
      </c>
      <c r="AI2071" t="s">
        <v>1086</v>
      </c>
      <c r="AJ2071">
        <v>35.856264000000003</v>
      </c>
      <c r="AK2071" t="s">
        <v>1087</v>
      </c>
      <c r="AL2071">
        <v>-83.965587999999997</v>
      </c>
      <c r="AM2071">
        <v>25</v>
      </c>
      <c r="AN2071">
        <v>1250</v>
      </c>
      <c r="AO2071" t="s">
        <v>118</v>
      </c>
      <c r="AP2071">
        <v>79</v>
      </c>
      <c r="AQ2071">
        <v>-72</v>
      </c>
      <c r="AR2071">
        <v>-704</v>
      </c>
      <c r="AZ2071">
        <v>300</v>
      </c>
      <c r="BA2071">
        <v>1</v>
      </c>
      <c r="BB2071" t="str">
        <f t="shared" si="101"/>
        <v xml:space="preserve">N162AM  </v>
      </c>
      <c r="BC2071">
        <v>1</v>
      </c>
      <c r="BE2071">
        <v>0</v>
      </c>
      <c r="BF2071">
        <v>0</v>
      </c>
      <c r="BG2071">
        <v>0</v>
      </c>
      <c r="BH2071">
        <v>1500</v>
      </c>
      <c r="BI2071">
        <v>1</v>
      </c>
      <c r="BJ2071">
        <v>1</v>
      </c>
      <c r="BK2071">
        <v>1</v>
      </c>
      <c r="BL2071">
        <v>0</v>
      </c>
      <c r="BO2071">
        <v>0</v>
      </c>
      <c r="BP2071">
        <v>0</v>
      </c>
      <c r="BW2071" t="str">
        <f>"14:53:32.236"</f>
        <v>14:53:32.236</v>
      </c>
      <c r="CJ2071">
        <v>3</v>
      </c>
      <c r="CK2071">
        <v>2</v>
      </c>
      <c r="CL2071">
        <v>0</v>
      </c>
      <c r="CM2071">
        <v>2</v>
      </c>
      <c r="CN2071">
        <v>0</v>
      </c>
      <c r="CO2071">
        <v>6</v>
      </c>
      <c r="CP2071" t="s">
        <v>119</v>
      </c>
      <c r="CQ2071">
        <v>232</v>
      </c>
      <c r="CR2071">
        <v>1</v>
      </c>
      <c r="CW2071">
        <v>15814532</v>
      </c>
      <c r="CY2071">
        <v>1</v>
      </c>
      <c r="CZ2071">
        <v>0</v>
      </c>
      <c r="DA2071">
        <v>1</v>
      </c>
      <c r="DB2071">
        <v>0</v>
      </c>
      <c r="DC2071">
        <v>0</v>
      </c>
      <c r="DD2071">
        <v>1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3">
      <c r="A2072" t="str">
        <f>"12/16/2021 14:53:32.462"</f>
        <v>12/16/2021 14:53:32.462</v>
      </c>
      <c r="C2072" t="str">
        <f t="shared" si="100"/>
        <v>FFDFD3C0</v>
      </c>
      <c r="D2072" t="s">
        <v>124</v>
      </c>
      <c r="E2072">
        <v>5</v>
      </c>
      <c r="F2072">
        <v>1005</v>
      </c>
      <c r="G2072" t="s">
        <v>114</v>
      </c>
      <c r="J2072" t="s">
        <v>125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>"14:53:32.234"</f>
        <v>14:53:32.234</v>
      </c>
      <c r="T2072" t="str">
        <f>"14:53:31.734"</f>
        <v>14:53:31.734</v>
      </c>
      <c r="U2072" t="str">
        <f t="shared" si="102"/>
        <v>A0F928</v>
      </c>
      <c r="V2072">
        <v>0</v>
      </c>
      <c r="W2072">
        <v>0</v>
      </c>
      <c r="X2072">
        <v>2</v>
      </c>
      <c r="Z2072">
        <v>0</v>
      </c>
      <c r="AA2072">
        <v>9</v>
      </c>
      <c r="AB2072">
        <v>3</v>
      </c>
      <c r="AC2072">
        <v>0</v>
      </c>
      <c r="AD2072">
        <v>10</v>
      </c>
      <c r="AE2072">
        <v>0</v>
      </c>
      <c r="AF2072">
        <v>3</v>
      </c>
      <c r="AG2072">
        <v>2</v>
      </c>
      <c r="AH2072">
        <v>1</v>
      </c>
      <c r="AI2072" t="s">
        <v>1086</v>
      </c>
      <c r="AJ2072">
        <v>35.856264000000003</v>
      </c>
      <c r="AK2072" t="s">
        <v>1087</v>
      </c>
      <c r="AL2072">
        <v>-83.965587999999997</v>
      </c>
      <c r="AM2072">
        <v>25</v>
      </c>
      <c r="AN2072">
        <v>1250</v>
      </c>
      <c r="AO2072" t="s">
        <v>118</v>
      </c>
      <c r="AP2072">
        <v>79</v>
      </c>
      <c r="AQ2072">
        <v>-72</v>
      </c>
      <c r="AR2072">
        <v>-704</v>
      </c>
      <c r="AZ2072">
        <v>300</v>
      </c>
      <c r="BA2072">
        <v>1</v>
      </c>
      <c r="BB2072" t="str">
        <f t="shared" si="101"/>
        <v xml:space="preserve">N162AM  </v>
      </c>
      <c r="BC2072">
        <v>1</v>
      </c>
      <c r="BE2072">
        <v>0</v>
      </c>
      <c r="BF2072">
        <v>0</v>
      </c>
      <c r="BG2072">
        <v>0</v>
      </c>
      <c r="BH2072">
        <v>1500</v>
      </c>
      <c r="BI2072">
        <v>1</v>
      </c>
      <c r="BJ2072">
        <v>1</v>
      </c>
      <c r="BK2072">
        <v>1</v>
      </c>
      <c r="BL2072">
        <v>0</v>
      </c>
      <c r="BO2072">
        <v>0</v>
      </c>
      <c r="BP2072">
        <v>0</v>
      </c>
      <c r="BW2072" t="str">
        <f>"14:53:32.236"</f>
        <v>14:53:32.236</v>
      </c>
      <c r="CJ2072">
        <v>3</v>
      </c>
      <c r="CK2072">
        <v>2</v>
      </c>
      <c r="CL2072">
        <v>0</v>
      </c>
      <c r="CM2072">
        <v>2</v>
      </c>
      <c r="CN2072">
        <v>0</v>
      </c>
      <c r="CO2072">
        <v>6</v>
      </c>
      <c r="CP2072" t="s">
        <v>119</v>
      </c>
      <c r="CQ2072">
        <v>232</v>
      </c>
      <c r="CR2072">
        <v>1</v>
      </c>
      <c r="CW2072">
        <v>15814532</v>
      </c>
      <c r="CY2072">
        <v>1</v>
      </c>
      <c r="CZ2072">
        <v>0</v>
      </c>
      <c r="DA2072">
        <v>1</v>
      </c>
      <c r="DB2072">
        <v>0</v>
      </c>
      <c r="DC2072">
        <v>0</v>
      </c>
      <c r="DD2072">
        <v>1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3">
      <c r="A2073" t="str">
        <f>"12/16/2021 14:53:32.462"</f>
        <v>12/16/2021 14:53:32.462</v>
      </c>
      <c r="C2073" t="str">
        <f t="shared" si="100"/>
        <v>FFDFD3C0</v>
      </c>
      <c r="D2073" t="s">
        <v>124</v>
      </c>
      <c r="E2073">
        <v>10</v>
      </c>
      <c r="F2073">
        <v>1010</v>
      </c>
      <c r="G2073" t="s">
        <v>130</v>
      </c>
      <c r="J2073" t="s">
        <v>125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>"14:53:32.234"</f>
        <v>14:53:32.234</v>
      </c>
      <c r="T2073" t="str">
        <f>"14:53:31.734"</f>
        <v>14:53:31.734</v>
      </c>
      <c r="U2073" t="str">
        <f t="shared" si="102"/>
        <v>A0F928</v>
      </c>
      <c r="V2073">
        <v>0</v>
      </c>
      <c r="W2073">
        <v>0</v>
      </c>
      <c r="X2073">
        <v>2</v>
      </c>
      <c r="Z2073">
        <v>0</v>
      </c>
      <c r="AA2073">
        <v>9</v>
      </c>
      <c r="AB2073">
        <v>3</v>
      </c>
      <c r="AC2073">
        <v>0</v>
      </c>
      <c r="AD2073">
        <v>10</v>
      </c>
      <c r="AE2073">
        <v>0</v>
      </c>
      <c r="AF2073">
        <v>0</v>
      </c>
      <c r="AG2073">
        <v>2</v>
      </c>
      <c r="AH2073">
        <v>1</v>
      </c>
      <c r="AI2073" t="s">
        <v>1086</v>
      </c>
      <c r="AJ2073">
        <v>35.856264000000003</v>
      </c>
      <c r="AK2073" t="s">
        <v>1087</v>
      </c>
      <c r="AL2073">
        <v>-83.965587999999997</v>
      </c>
      <c r="AM2073">
        <v>25</v>
      </c>
      <c r="AN2073">
        <v>1250</v>
      </c>
      <c r="AO2073" t="s">
        <v>118</v>
      </c>
      <c r="AP2073">
        <v>79</v>
      </c>
      <c r="AQ2073">
        <v>-72</v>
      </c>
      <c r="AR2073">
        <v>-704</v>
      </c>
      <c r="AZ2073">
        <v>300</v>
      </c>
      <c r="BA2073">
        <v>1</v>
      </c>
      <c r="BB2073" t="str">
        <f t="shared" si="101"/>
        <v xml:space="preserve">N162AM  </v>
      </c>
      <c r="BC2073">
        <v>1</v>
      </c>
      <c r="BE2073">
        <v>0</v>
      </c>
      <c r="BF2073">
        <v>0</v>
      </c>
      <c r="BG2073">
        <v>0</v>
      </c>
      <c r="BH2073">
        <v>1500</v>
      </c>
      <c r="BI2073">
        <v>1</v>
      </c>
      <c r="BJ2073">
        <v>1</v>
      </c>
      <c r="BK2073">
        <v>1</v>
      </c>
      <c r="BL2073">
        <v>0</v>
      </c>
      <c r="BO2073">
        <v>0</v>
      </c>
      <c r="BP2073">
        <v>0</v>
      </c>
      <c r="BW2073" t="str">
        <f>"14:53:32.236"</f>
        <v>14:53:32.236</v>
      </c>
      <c r="CJ2073">
        <v>2</v>
      </c>
      <c r="CK2073">
        <v>2</v>
      </c>
      <c r="CL2073">
        <v>0</v>
      </c>
      <c r="CM2073">
        <v>2</v>
      </c>
      <c r="CN2073">
        <v>0</v>
      </c>
      <c r="CO2073">
        <v>6</v>
      </c>
      <c r="CP2073" t="s">
        <v>119</v>
      </c>
      <c r="CQ2073">
        <v>232</v>
      </c>
      <c r="CR2073">
        <v>1</v>
      </c>
      <c r="CW2073">
        <v>15814532</v>
      </c>
      <c r="CY2073">
        <v>1</v>
      </c>
      <c r="CZ2073">
        <v>0</v>
      </c>
      <c r="DA2073">
        <v>1</v>
      </c>
      <c r="DB2073">
        <v>0</v>
      </c>
      <c r="DC2073">
        <v>0</v>
      </c>
      <c r="DD2073">
        <v>1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3">
      <c r="A2074" t="str">
        <f>"12/16/2021 14:53:33.384"</f>
        <v>12/16/2021 14:53:33.384</v>
      </c>
      <c r="C2074" t="str">
        <f t="shared" si="100"/>
        <v>FFDFD3C0</v>
      </c>
      <c r="D2074" t="s">
        <v>124</v>
      </c>
      <c r="E2074">
        <v>10</v>
      </c>
      <c r="F2074">
        <v>1010</v>
      </c>
      <c r="G2074" t="s">
        <v>130</v>
      </c>
      <c r="J2074" t="s">
        <v>125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>"14:53:33.164"</f>
        <v>14:53:33.164</v>
      </c>
      <c r="T2074" t="str">
        <f>"14:53:32.664"</f>
        <v>14:53:32.664</v>
      </c>
      <c r="U2074" t="str">
        <f t="shared" si="102"/>
        <v>A0F928</v>
      </c>
      <c r="V2074">
        <v>0</v>
      </c>
      <c r="W2074">
        <v>0</v>
      </c>
      <c r="X2074">
        <v>2</v>
      </c>
      <c r="Z2074">
        <v>0</v>
      </c>
      <c r="AA2074">
        <v>9</v>
      </c>
      <c r="AB2074">
        <v>3</v>
      </c>
      <c r="AC2074">
        <v>0</v>
      </c>
      <c r="AD2074">
        <v>10</v>
      </c>
      <c r="AE2074">
        <v>0</v>
      </c>
      <c r="AF2074">
        <v>0</v>
      </c>
      <c r="AG2074">
        <v>2</v>
      </c>
      <c r="AH2074">
        <v>1</v>
      </c>
      <c r="AI2074" t="s">
        <v>1088</v>
      </c>
      <c r="AJ2074">
        <v>35.855941999999999</v>
      </c>
      <c r="AK2074" t="s">
        <v>1089</v>
      </c>
      <c r="AL2074">
        <v>-83.965136999999999</v>
      </c>
      <c r="AM2074">
        <v>25</v>
      </c>
      <c r="AN2074">
        <v>1225</v>
      </c>
      <c r="AO2074" t="s">
        <v>118</v>
      </c>
      <c r="AP2074">
        <v>76</v>
      </c>
      <c r="AQ2074">
        <v>-75</v>
      </c>
      <c r="AR2074">
        <v>-640</v>
      </c>
      <c r="AZ2074">
        <v>300</v>
      </c>
      <c r="BA2074">
        <v>1</v>
      </c>
      <c r="BB2074" t="str">
        <f t="shared" si="101"/>
        <v xml:space="preserve">N162AM  </v>
      </c>
      <c r="BC2074">
        <v>1</v>
      </c>
      <c r="BE2074">
        <v>0</v>
      </c>
      <c r="BF2074">
        <v>0</v>
      </c>
      <c r="BG2074">
        <v>0</v>
      </c>
      <c r="BH2074">
        <v>1500</v>
      </c>
      <c r="BI2074">
        <v>1</v>
      </c>
      <c r="BJ2074">
        <v>1</v>
      </c>
      <c r="BK2074">
        <v>1</v>
      </c>
      <c r="BL2074">
        <v>0</v>
      </c>
      <c r="BO2074">
        <v>0</v>
      </c>
      <c r="BP2074">
        <v>0</v>
      </c>
      <c r="BW2074" t="str">
        <f>"14:53:33.168"</f>
        <v>14:53:33.168</v>
      </c>
      <c r="CJ2074">
        <v>2</v>
      </c>
      <c r="CK2074">
        <v>2</v>
      </c>
      <c r="CL2074">
        <v>0</v>
      </c>
      <c r="CM2074">
        <v>2</v>
      </c>
      <c r="CN2074">
        <v>0</v>
      </c>
      <c r="CO2074">
        <v>5</v>
      </c>
      <c r="CP2074" t="s">
        <v>119</v>
      </c>
      <c r="CQ2074">
        <v>232</v>
      </c>
      <c r="CR2074">
        <v>1</v>
      </c>
      <c r="CW2074">
        <v>15815863</v>
      </c>
      <c r="CY2074">
        <v>1</v>
      </c>
      <c r="CZ2074">
        <v>0</v>
      </c>
      <c r="DA2074">
        <v>0</v>
      </c>
      <c r="DB2074">
        <v>0</v>
      </c>
      <c r="DC2074">
        <v>0</v>
      </c>
      <c r="DD2074">
        <v>1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3">
      <c r="A2075" t="str">
        <f>"12/16/2021 14:53:33.399"</f>
        <v>12/16/2021 14:53:33.399</v>
      </c>
      <c r="C2075" t="str">
        <f t="shared" si="100"/>
        <v>FFDFD3C0</v>
      </c>
      <c r="D2075" t="s">
        <v>113</v>
      </c>
      <c r="E2075">
        <v>8</v>
      </c>
      <c r="H2075">
        <v>176</v>
      </c>
      <c r="I2075" t="s">
        <v>114</v>
      </c>
      <c r="J2075" t="s">
        <v>115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>"14:53:33.164"</f>
        <v>14:53:33.164</v>
      </c>
      <c r="T2075" t="str">
        <f>"14:53:32.664"</f>
        <v>14:53:32.664</v>
      </c>
      <c r="U2075" t="str">
        <f t="shared" si="102"/>
        <v>A0F928</v>
      </c>
      <c r="V2075">
        <v>0</v>
      </c>
      <c r="W2075">
        <v>0</v>
      </c>
      <c r="X2075">
        <v>2</v>
      </c>
      <c r="Z2075">
        <v>0</v>
      </c>
      <c r="AA2075">
        <v>9</v>
      </c>
      <c r="AB2075">
        <v>3</v>
      </c>
      <c r="AC2075">
        <v>0</v>
      </c>
      <c r="AD2075">
        <v>10</v>
      </c>
      <c r="AE2075">
        <v>0</v>
      </c>
      <c r="AF2075">
        <v>3</v>
      </c>
      <c r="AG2075">
        <v>2</v>
      </c>
      <c r="AH2075">
        <v>1</v>
      </c>
      <c r="AI2075" t="s">
        <v>1088</v>
      </c>
      <c r="AJ2075">
        <v>35.855941999999999</v>
      </c>
      <c r="AK2075" t="s">
        <v>1089</v>
      </c>
      <c r="AL2075">
        <v>-83.965136999999999</v>
      </c>
      <c r="AM2075">
        <v>25</v>
      </c>
      <c r="AN2075">
        <v>1225</v>
      </c>
      <c r="AO2075" t="s">
        <v>118</v>
      </c>
      <c r="AP2075">
        <v>76</v>
      </c>
      <c r="AQ2075">
        <v>-75</v>
      </c>
      <c r="AR2075">
        <v>-640</v>
      </c>
      <c r="AZ2075">
        <v>300</v>
      </c>
      <c r="BA2075">
        <v>1</v>
      </c>
      <c r="BB2075" t="str">
        <f t="shared" si="101"/>
        <v xml:space="preserve">N162AM  </v>
      </c>
      <c r="BC2075">
        <v>1</v>
      </c>
      <c r="BE2075">
        <v>0</v>
      </c>
      <c r="BF2075">
        <v>0</v>
      </c>
      <c r="BG2075">
        <v>0</v>
      </c>
      <c r="BH2075">
        <v>1500</v>
      </c>
      <c r="BI2075">
        <v>1</v>
      </c>
      <c r="BJ2075">
        <v>1</v>
      </c>
      <c r="BK2075">
        <v>1</v>
      </c>
      <c r="BL2075">
        <v>0</v>
      </c>
      <c r="BO2075">
        <v>0</v>
      </c>
      <c r="BP2075">
        <v>0</v>
      </c>
      <c r="BW2075" t="str">
        <f>"14:53:33.168"</f>
        <v>14:53:33.168</v>
      </c>
      <c r="CJ2075">
        <v>3</v>
      </c>
      <c r="CK2075">
        <v>2</v>
      </c>
      <c r="CL2075">
        <v>0</v>
      </c>
      <c r="CM2075">
        <v>2</v>
      </c>
      <c r="CN2075">
        <v>0</v>
      </c>
      <c r="CO2075">
        <v>5</v>
      </c>
      <c r="CP2075" t="s">
        <v>119</v>
      </c>
      <c r="CQ2075">
        <v>232</v>
      </c>
      <c r="CR2075">
        <v>1</v>
      </c>
      <c r="CW2075">
        <v>15815863</v>
      </c>
      <c r="CY2075">
        <v>1</v>
      </c>
      <c r="CZ2075">
        <v>0</v>
      </c>
      <c r="DA2075">
        <v>1</v>
      </c>
      <c r="DB2075">
        <v>0</v>
      </c>
      <c r="DC2075">
        <v>0</v>
      </c>
      <c r="DD2075">
        <v>1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3">
      <c r="A2076" t="str">
        <f>"12/16/2021 14:53:33.415"</f>
        <v>12/16/2021 14:53:33.415</v>
      </c>
      <c r="C2076" t="str">
        <f t="shared" si="100"/>
        <v>FFDFD3C0</v>
      </c>
      <c r="D2076" t="s">
        <v>124</v>
      </c>
      <c r="E2076">
        <v>5</v>
      </c>
      <c r="F2076">
        <v>1005</v>
      </c>
      <c r="G2076" t="s">
        <v>114</v>
      </c>
      <c r="J2076" t="s">
        <v>125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>"14:53:33.164"</f>
        <v>14:53:33.164</v>
      </c>
      <c r="T2076" t="str">
        <f>"14:53:32.664"</f>
        <v>14:53:32.664</v>
      </c>
      <c r="U2076" t="str">
        <f t="shared" si="102"/>
        <v>A0F928</v>
      </c>
      <c r="V2076">
        <v>0</v>
      </c>
      <c r="W2076">
        <v>0</v>
      </c>
      <c r="X2076">
        <v>2</v>
      </c>
      <c r="Z2076">
        <v>0</v>
      </c>
      <c r="AA2076">
        <v>9</v>
      </c>
      <c r="AB2076">
        <v>3</v>
      </c>
      <c r="AC2076">
        <v>0</v>
      </c>
      <c r="AD2076">
        <v>10</v>
      </c>
      <c r="AE2076">
        <v>0</v>
      </c>
      <c r="AF2076">
        <v>3</v>
      </c>
      <c r="AG2076">
        <v>2</v>
      </c>
      <c r="AH2076">
        <v>1</v>
      </c>
      <c r="AI2076" t="s">
        <v>1088</v>
      </c>
      <c r="AJ2076">
        <v>35.855941999999999</v>
      </c>
      <c r="AK2076" t="s">
        <v>1089</v>
      </c>
      <c r="AL2076">
        <v>-83.965136999999999</v>
      </c>
      <c r="AM2076">
        <v>25</v>
      </c>
      <c r="AN2076">
        <v>1225</v>
      </c>
      <c r="AO2076" t="s">
        <v>118</v>
      </c>
      <c r="AP2076">
        <v>76</v>
      </c>
      <c r="AQ2076">
        <v>-75</v>
      </c>
      <c r="AR2076">
        <v>-640</v>
      </c>
      <c r="AZ2076">
        <v>300</v>
      </c>
      <c r="BA2076">
        <v>1</v>
      </c>
      <c r="BB2076" t="str">
        <f t="shared" si="101"/>
        <v xml:space="preserve">N162AM  </v>
      </c>
      <c r="BC2076">
        <v>1</v>
      </c>
      <c r="BE2076">
        <v>0</v>
      </c>
      <c r="BF2076">
        <v>0</v>
      </c>
      <c r="BG2076">
        <v>0</v>
      </c>
      <c r="BH2076">
        <v>1500</v>
      </c>
      <c r="BI2076">
        <v>1</v>
      </c>
      <c r="BJ2076">
        <v>1</v>
      </c>
      <c r="BK2076">
        <v>1</v>
      </c>
      <c r="BL2076">
        <v>0</v>
      </c>
      <c r="BO2076">
        <v>0</v>
      </c>
      <c r="BP2076">
        <v>0</v>
      </c>
      <c r="BW2076" t="str">
        <f>"14:53:33.168"</f>
        <v>14:53:33.168</v>
      </c>
      <c r="CJ2076">
        <v>3</v>
      </c>
      <c r="CK2076">
        <v>2</v>
      </c>
      <c r="CL2076">
        <v>0</v>
      </c>
      <c r="CM2076">
        <v>2</v>
      </c>
      <c r="CN2076">
        <v>0</v>
      </c>
      <c r="CO2076">
        <v>5</v>
      </c>
      <c r="CP2076" t="s">
        <v>119</v>
      </c>
      <c r="CQ2076">
        <v>232</v>
      </c>
      <c r="CR2076">
        <v>1</v>
      </c>
      <c r="CW2076">
        <v>15815863</v>
      </c>
      <c r="CY2076">
        <v>1</v>
      </c>
      <c r="CZ2076">
        <v>0</v>
      </c>
      <c r="DA2076">
        <v>1</v>
      </c>
      <c r="DB2076">
        <v>0</v>
      </c>
      <c r="DC2076">
        <v>0</v>
      </c>
      <c r="DD2076">
        <v>1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3">
      <c r="A2077" t="str">
        <f>"12/16/2021 14:53:33.384"</f>
        <v>12/16/2021 14:53:33.384</v>
      </c>
      <c r="C2077" t="str">
        <f t="shared" si="100"/>
        <v>FFDFD3C0</v>
      </c>
      <c r="D2077" t="s">
        <v>133</v>
      </c>
      <c r="E2077">
        <v>44</v>
      </c>
      <c r="H2077">
        <v>131</v>
      </c>
      <c r="I2077" t="s">
        <v>134</v>
      </c>
      <c r="J2077" t="s">
        <v>135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>"14:53:33.164"</f>
        <v>14:53:33.164</v>
      </c>
      <c r="T2077" t="str">
        <f>"14:53:32.664"</f>
        <v>14:53:32.664</v>
      </c>
      <c r="U2077" t="str">
        <f t="shared" si="102"/>
        <v>A0F928</v>
      </c>
      <c r="V2077">
        <v>0</v>
      </c>
      <c r="W2077">
        <v>0</v>
      </c>
      <c r="X2077">
        <v>2</v>
      </c>
      <c r="Z2077">
        <v>0</v>
      </c>
      <c r="AA2077">
        <v>9</v>
      </c>
      <c r="AB2077">
        <v>3</v>
      </c>
      <c r="AC2077">
        <v>0</v>
      </c>
      <c r="AD2077">
        <v>10</v>
      </c>
      <c r="AE2077">
        <v>0</v>
      </c>
      <c r="AF2077">
        <v>3</v>
      </c>
      <c r="AG2077">
        <v>2</v>
      </c>
      <c r="AH2077">
        <v>1</v>
      </c>
      <c r="AI2077" t="s">
        <v>1088</v>
      </c>
      <c r="AJ2077">
        <v>35.855941999999999</v>
      </c>
      <c r="AK2077" t="s">
        <v>1089</v>
      </c>
      <c r="AL2077">
        <v>-83.965136999999999</v>
      </c>
      <c r="AM2077">
        <v>25</v>
      </c>
      <c r="AN2077">
        <v>1225</v>
      </c>
      <c r="AO2077" t="s">
        <v>118</v>
      </c>
      <c r="AP2077">
        <v>76</v>
      </c>
      <c r="AQ2077">
        <v>-75</v>
      </c>
      <c r="AR2077">
        <v>-640</v>
      </c>
      <c r="AZ2077">
        <v>300</v>
      </c>
      <c r="BA2077">
        <v>1</v>
      </c>
      <c r="BB2077" t="str">
        <f t="shared" si="101"/>
        <v xml:space="preserve">N162AM  </v>
      </c>
      <c r="BC2077">
        <v>1</v>
      </c>
      <c r="BE2077">
        <v>0</v>
      </c>
      <c r="BF2077">
        <v>0</v>
      </c>
      <c r="BG2077">
        <v>0</v>
      </c>
      <c r="BH2077">
        <v>1500</v>
      </c>
      <c r="BI2077">
        <v>1</v>
      </c>
      <c r="BJ2077">
        <v>1</v>
      </c>
      <c r="BK2077">
        <v>1</v>
      </c>
      <c r="BL2077">
        <v>0</v>
      </c>
      <c r="BO2077">
        <v>0</v>
      </c>
      <c r="BP2077">
        <v>0</v>
      </c>
      <c r="BW2077" t="str">
        <f>"14:53:33.168"</f>
        <v>14:53:33.168</v>
      </c>
      <c r="CJ2077">
        <v>3</v>
      </c>
      <c r="CK2077">
        <v>2</v>
      </c>
      <c r="CL2077">
        <v>0</v>
      </c>
      <c r="CM2077">
        <v>2</v>
      </c>
      <c r="CN2077">
        <v>0</v>
      </c>
      <c r="CO2077">
        <v>5</v>
      </c>
      <c r="CP2077" t="s">
        <v>119</v>
      </c>
      <c r="CQ2077">
        <v>232</v>
      </c>
      <c r="CR2077">
        <v>1</v>
      </c>
      <c r="CW2077">
        <v>15815863</v>
      </c>
      <c r="CY2077">
        <v>1</v>
      </c>
      <c r="CZ2077">
        <v>0</v>
      </c>
      <c r="DA2077">
        <v>1</v>
      </c>
      <c r="DB2077">
        <v>0</v>
      </c>
      <c r="DC2077">
        <v>0</v>
      </c>
      <c r="DD2077">
        <v>1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3">
      <c r="A2078" t="str">
        <f>"12/16/2021 14:53:34.259"</f>
        <v>12/16/2021 14:53:34.259</v>
      </c>
      <c r="C2078" t="str">
        <f t="shared" si="100"/>
        <v>FFDFD3C0</v>
      </c>
      <c r="D2078" t="s">
        <v>113</v>
      </c>
      <c r="E2078">
        <v>8</v>
      </c>
      <c r="H2078">
        <v>176</v>
      </c>
      <c r="I2078" t="s">
        <v>114</v>
      </c>
      <c r="J2078" t="s">
        <v>115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>"14:53:34.047"</f>
        <v>14:53:34.047</v>
      </c>
      <c r="T2078" t="str">
        <f>"14:53:33.647"</f>
        <v>14:53:33.647</v>
      </c>
      <c r="U2078" t="str">
        <f t="shared" si="102"/>
        <v>A0F928</v>
      </c>
      <c r="V2078">
        <v>0</v>
      </c>
      <c r="W2078">
        <v>0</v>
      </c>
      <c r="X2078">
        <v>2</v>
      </c>
      <c r="Z2078">
        <v>0</v>
      </c>
      <c r="AA2078">
        <v>9</v>
      </c>
      <c r="AB2078">
        <v>3</v>
      </c>
      <c r="AC2078">
        <v>0</v>
      </c>
      <c r="AD2078">
        <v>10</v>
      </c>
      <c r="AE2078">
        <v>0</v>
      </c>
      <c r="AF2078">
        <v>3</v>
      </c>
      <c r="AG2078">
        <v>2</v>
      </c>
      <c r="AH2078">
        <v>1</v>
      </c>
      <c r="AI2078" t="s">
        <v>1090</v>
      </c>
      <c r="AJ2078">
        <v>35.855620000000002</v>
      </c>
      <c r="AK2078" t="s">
        <v>1091</v>
      </c>
      <c r="AL2078">
        <v>-83.964837000000003</v>
      </c>
      <c r="AM2078">
        <v>25</v>
      </c>
      <c r="AN2078">
        <v>1225</v>
      </c>
      <c r="AO2078" t="s">
        <v>118</v>
      </c>
      <c r="AP2078">
        <v>74</v>
      </c>
      <c r="AQ2078">
        <v>-77</v>
      </c>
      <c r="AR2078">
        <v>-640</v>
      </c>
      <c r="AZ2078">
        <v>300</v>
      </c>
      <c r="BA2078">
        <v>1</v>
      </c>
      <c r="BB2078" t="str">
        <f t="shared" si="101"/>
        <v xml:space="preserve">N162AM  </v>
      </c>
      <c r="BC2078">
        <v>1</v>
      </c>
      <c r="BE2078">
        <v>0</v>
      </c>
      <c r="BF2078">
        <v>0</v>
      </c>
      <c r="BG2078">
        <v>0</v>
      </c>
      <c r="BH2078">
        <v>1475</v>
      </c>
      <c r="BI2078">
        <v>1</v>
      </c>
      <c r="BJ2078">
        <v>1</v>
      </c>
      <c r="BK2078">
        <v>1</v>
      </c>
      <c r="BL2078">
        <v>0</v>
      </c>
      <c r="BO2078">
        <v>0</v>
      </c>
      <c r="BP2078">
        <v>0</v>
      </c>
      <c r="BW2078" t="str">
        <f>"14:53:34.052"</f>
        <v>14:53:34.052</v>
      </c>
      <c r="CJ2078">
        <v>3</v>
      </c>
      <c r="CK2078">
        <v>2</v>
      </c>
      <c r="CL2078">
        <v>0</v>
      </c>
      <c r="CM2078">
        <v>2</v>
      </c>
      <c r="CN2078">
        <v>0</v>
      </c>
      <c r="CO2078">
        <v>5</v>
      </c>
      <c r="CP2078" t="s">
        <v>119</v>
      </c>
      <c r="CQ2078">
        <v>232</v>
      </c>
      <c r="CR2078">
        <v>1</v>
      </c>
      <c r="CW2078">
        <v>15817132</v>
      </c>
      <c r="CY2078">
        <v>1</v>
      </c>
      <c r="CZ2078">
        <v>0</v>
      </c>
      <c r="DA2078">
        <v>0</v>
      </c>
      <c r="DB2078">
        <v>0</v>
      </c>
      <c r="DC2078">
        <v>0</v>
      </c>
      <c r="DD2078">
        <v>1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3">
      <c r="A2079" t="str">
        <f>"12/16/2021 14:53:34.275"</f>
        <v>12/16/2021 14:53:34.275</v>
      </c>
      <c r="C2079" t="str">
        <f t="shared" si="100"/>
        <v>FFDFD3C0</v>
      </c>
      <c r="D2079" t="s">
        <v>124</v>
      </c>
      <c r="E2079">
        <v>5</v>
      </c>
      <c r="F2079">
        <v>1005</v>
      </c>
      <c r="G2079" t="s">
        <v>114</v>
      </c>
      <c r="J2079" t="s">
        <v>125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>"14:53:34.047"</f>
        <v>14:53:34.047</v>
      </c>
      <c r="T2079" t="str">
        <f>"14:53:33.647"</f>
        <v>14:53:33.647</v>
      </c>
      <c r="U2079" t="str">
        <f t="shared" si="102"/>
        <v>A0F928</v>
      </c>
      <c r="V2079">
        <v>0</v>
      </c>
      <c r="W2079">
        <v>0</v>
      </c>
      <c r="X2079">
        <v>2</v>
      </c>
      <c r="Z2079">
        <v>0</v>
      </c>
      <c r="AA2079">
        <v>9</v>
      </c>
      <c r="AB2079">
        <v>3</v>
      </c>
      <c r="AC2079">
        <v>0</v>
      </c>
      <c r="AD2079">
        <v>10</v>
      </c>
      <c r="AE2079">
        <v>0</v>
      </c>
      <c r="AF2079">
        <v>3</v>
      </c>
      <c r="AG2079">
        <v>2</v>
      </c>
      <c r="AH2079">
        <v>1</v>
      </c>
      <c r="AI2079" t="s">
        <v>1090</v>
      </c>
      <c r="AJ2079">
        <v>35.855620000000002</v>
      </c>
      <c r="AK2079" t="s">
        <v>1091</v>
      </c>
      <c r="AL2079">
        <v>-83.964837000000003</v>
      </c>
      <c r="AM2079">
        <v>25</v>
      </c>
      <c r="AN2079">
        <v>1225</v>
      </c>
      <c r="AO2079" t="s">
        <v>118</v>
      </c>
      <c r="AP2079">
        <v>74</v>
      </c>
      <c r="AQ2079">
        <v>-77</v>
      </c>
      <c r="AR2079">
        <v>-640</v>
      </c>
      <c r="AZ2079">
        <v>300</v>
      </c>
      <c r="BA2079">
        <v>1</v>
      </c>
      <c r="BB2079" t="str">
        <f t="shared" si="101"/>
        <v xml:space="preserve">N162AM  </v>
      </c>
      <c r="BC2079">
        <v>1</v>
      </c>
      <c r="BE2079">
        <v>0</v>
      </c>
      <c r="BF2079">
        <v>0</v>
      </c>
      <c r="BG2079">
        <v>0</v>
      </c>
      <c r="BH2079">
        <v>1475</v>
      </c>
      <c r="BI2079">
        <v>1</v>
      </c>
      <c r="BJ2079">
        <v>1</v>
      </c>
      <c r="BK2079">
        <v>1</v>
      </c>
      <c r="BL2079">
        <v>0</v>
      </c>
      <c r="BO2079">
        <v>0</v>
      </c>
      <c r="BP2079">
        <v>0</v>
      </c>
      <c r="BW2079" t="str">
        <f>"14:53:34.052"</f>
        <v>14:53:34.052</v>
      </c>
      <c r="CJ2079">
        <v>3</v>
      </c>
      <c r="CK2079">
        <v>2</v>
      </c>
      <c r="CL2079">
        <v>0</v>
      </c>
      <c r="CM2079">
        <v>2</v>
      </c>
      <c r="CN2079">
        <v>0</v>
      </c>
      <c r="CO2079">
        <v>5</v>
      </c>
      <c r="CP2079" t="s">
        <v>119</v>
      </c>
      <c r="CQ2079">
        <v>232</v>
      </c>
      <c r="CR2079">
        <v>1</v>
      </c>
      <c r="CW2079">
        <v>15817132</v>
      </c>
      <c r="CY2079">
        <v>1</v>
      </c>
      <c r="CZ2079">
        <v>0</v>
      </c>
      <c r="DA2079">
        <v>1</v>
      </c>
      <c r="DB2079">
        <v>0</v>
      </c>
      <c r="DC2079">
        <v>0</v>
      </c>
      <c r="DD2079">
        <v>1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3">
      <c r="A2080" t="str">
        <f>"12/16/2021 14:53:34.275"</f>
        <v>12/16/2021 14:53:34.275</v>
      </c>
      <c r="C2080" t="str">
        <f t="shared" si="100"/>
        <v>FFDFD3C0</v>
      </c>
      <c r="D2080" t="s">
        <v>124</v>
      </c>
      <c r="E2080">
        <v>10</v>
      </c>
      <c r="F2080">
        <v>1010</v>
      </c>
      <c r="G2080" t="s">
        <v>130</v>
      </c>
      <c r="J2080" t="s">
        <v>125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>"14:53:34.047"</f>
        <v>14:53:34.047</v>
      </c>
      <c r="T2080" t="str">
        <f>"14:53:33.647"</f>
        <v>14:53:33.647</v>
      </c>
      <c r="U2080" t="str">
        <f t="shared" si="102"/>
        <v>A0F928</v>
      </c>
      <c r="V2080">
        <v>0</v>
      </c>
      <c r="W2080">
        <v>0</v>
      </c>
      <c r="X2080">
        <v>2</v>
      </c>
      <c r="Z2080">
        <v>0</v>
      </c>
      <c r="AA2080">
        <v>9</v>
      </c>
      <c r="AB2080">
        <v>3</v>
      </c>
      <c r="AC2080">
        <v>0</v>
      </c>
      <c r="AD2080">
        <v>10</v>
      </c>
      <c r="AE2080">
        <v>0</v>
      </c>
      <c r="AF2080">
        <v>0</v>
      </c>
      <c r="AG2080">
        <v>2</v>
      </c>
      <c r="AH2080">
        <v>1</v>
      </c>
      <c r="AI2080" t="s">
        <v>1090</v>
      </c>
      <c r="AJ2080">
        <v>35.855620000000002</v>
      </c>
      <c r="AK2080" t="s">
        <v>1091</v>
      </c>
      <c r="AL2080">
        <v>-83.964837000000003</v>
      </c>
      <c r="AM2080">
        <v>25</v>
      </c>
      <c r="AN2080">
        <v>1225</v>
      </c>
      <c r="AO2080" t="s">
        <v>118</v>
      </c>
      <c r="AP2080">
        <v>74</v>
      </c>
      <c r="AQ2080">
        <v>-77</v>
      </c>
      <c r="AR2080">
        <v>-640</v>
      </c>
      <c r="AZ2080">
        <v>300</v>
      </c>
      <c r="BA2080">
        <v>1</v>
      </c>
      <c r="BB2080" t="str">
        <f t="shared" si="101"/>
        <v xml:space="preserve">N162AM  </v>
      </c>
      <c r="BC2080">
        <v>1</v>
      </c>
      <c r="BE2080">
        <v>0</v>
      </c>
      <c r="BF2080">
        <v>0</v>
      </c>
      <c r="BG2080">
        <v>0</v>
      </c>
      <c r="BH2080">
        <v>1475</v>
      </c>
      <c r="BI2080">
        <v>1</v>
      </c>
      <c r="BJ2080">
        <v>1</v>
      </c>
      <c r="BK2080">
        <v>1</v>
      </c>
      <c r="BL2080">
        <v>0</v>
      </c>
      <c r="BO2080">
        <v>0</v>
      </c>
      <c r="BP2080">
        <v>0</v>
      </c>
      <c r="BW2080" t="str">
        <f>"14:53:34.052"</f>
        <v>14:53:34.052</v>
      </c>
      <c r="CJ2080">
        <v>2</v>
      </c>
      <c r="CK2080">
        <v>2</v>
      </c>
      <c r="CL2080">
        <v>0</v>
      </c>
      <c r="CM2080">
        <v>2</v>
      </c>
      <c r="CN2080">
        <v>0</v>
      </c>
      <c r="CO2080">
        <v>5</v>
      </c>
      <c r="CP2080" t="s">
        <v>119</v>
      </c>
      <c r="CQ2080">
        <v>232</v>
      </c>
      <c r="CR2080">
        <v>1</v>
      </c>
      <c r="CW2080">
        <v>15817132</v>
      </c>
      <c r="CY2080">
        <v>1</v>
      </c>
      <c r="CZ2080">
        <v>0</v>
      </c>
      <c r="DA2080">
        <v>1</v>
      </c>
      <c r="DB2080">
        <v>0</v>
      </c>
      <c r="DC2080">
        <v>0</v>
      </c>
      <c r="DD2080">
        <v>1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3">
      <c r="A2081" t="str">
        <f>"12/16/2021 14:53:34.275"</f>
        <v>12/16/2021 14:53:34.275</v>
      </c>
      <c r="C2081" t="str">
        <f t="shared" si="100"/>
        <v>FFDFD3C0</v>
      </c>
      <c r="D2081" t="s">
        <v>133</v>
      </c>
      <c r="E2081">
        <v>44</v>
      </c>
      <c r="H2081">
        <v>131</v>
      </c>
      <c r="I2081" t="s">
        <v>134</v>
      </c>
      <c r="J2081" t="s">
        <v>135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>"14:53:34.047"</f>
        <v>14:53:34.047</v>
      </c>
      <c r="T2081" t="str">
        <f>"14:53:33.647"</f>
        <v>14:53:33.647</v>
      </c>
      <c r="U2081" t="str">
        <f t="shared" si="102"/>
        <v>A0F928</v>
      </c>
      <c r="V2081">
        <v>0</v>
      </c>
      <c r="W2081">
        <v>0</v>
      </c>
      <c r="X2081">
        <v>2</v>
      </c>
      <c r="Z2081">
        <v>0</v>
      </c>
      <c r="AA2081">
        <v>9</v>
      </c>
      <c r="AB2081">
        <v>3</v>
      </c>
      <c r="AC2081">
        <v>0</v>
      </c>
      <c r="AD2081">
        <v>10</v>
      </c>
      <c r="AE2081">
        <v>0</v>
      </c>
      <c r="AF2081">
        <v>3</v>
      </c>
      <c r="AG2081">
        <v>2</v>
      </c>
      <c r="AH2081">
        <v>1</v>
      </c>
      <c r="AI2081" t="s">
        <v>1090</v>
      </c>
      <c r="AJ2081">
        <v>35.855620000000002</v>
      </c>
      <c r="AK2081" t="s">
        <v>1091</v>
      </c>
      <c r="AL2081">
        <v>-83.964837000000003</v>
      </c>
      <c r="AM2081">
        <v>25</v>
      </c>
      <c r="AN2081">
        <v>1225</v>
      </c>
      <c r="AO2081" t="s">
        <v>118</v>
      </c>
      <c r="AP2081">
        <v>74</v>
      </c>
      <c r="AQ2081">
        <v>-77</v>
      </c>
      <c r="AR2081">
        <v>-640</v>
      </c>
      <c r="AZ2081">
        <v>300</v>
      </c>
      <c r="BA2081">
        <v>1</v>
      </c>
      <c r="BB2081" t="str">
        <f t="shared" si="101"/>
        <v xml:space="preserve">N162AM  </v>
      </c>
      <c r="BC2081">
        <v>1</v>
      </c>
      <c r="BE2081">
        <v>0</v>
      </c>
      <c r="BF2081">
        <v>0</v>
      </c>
      <c r="BG2081">
        <v>0</v>
      </c>
      <c r="BH2081">
        <v>1475</v>
      </c>
      <c r="BI2081">
        <v>1</v>
      </c>
      <c r="BJ2081">
        <v>1</v>
      </c>
      <c r="BK2081">
        <v>1</v>
      </c>
      <c r="BL2081">
        <v>0</v>
      </c>
      <c r="BO2081">
        <v>0</v>
      </c>
      <c r="BP2081">
        <v>0</v>
      </c>
      <c r="BW2081" t="str">
        <f>"14:53:34.052"</f>
        <v>14:53:34.052</v>
      </c>
      <c r="CJ2081">
        <v>3</v>
      </c>
      <c r="CK2081">
        <v>2</v>
      </c>
      <c r="CL2081">
        <v>0</v>
      </c>
      <c r="CM2081">
        <v>2</v>
      </c>
      <c r="CN2081">
        <v>0</v>
      </c>
      <c r="CO2081">
        <v>5</v>
      </c>
      <c r="CP2081" t="s">
        <v>119</v>
      </c>
      <c r="CQ2081">
        <v>232</v>
      </c>
      <c r="CR2081">
        <v>1</v>
      </c>
      <c r="CW2081">
        <v>15817132</v>
      </c>
      <c r="CY2081">
        <v>1</v>
      </c>
      <c r="CZ2081">
        <v>0</v>
      </c>
      <c r="DA2081">
        <v>1</v>
      </c>
      <c r="DB2081">
        <v>0</v>
      </c>
      <c r="DC2081">
        <v>0</v>
      </c>
      <c r="DD2081">
        <v>1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3">
      <c r="A2082" t="str">
        <f>"12/16/2021 14:53:35.290"</f>
        <v>12/16/2021 14:53:35.290</v>
      </c>
      <c r="C2082" t="str">
        <f t="shared" si="100"/>
        <v>FFDFD3C0</v>
      </c>
      <c r="D2082" t="s">
        <v>133</v>
      </c>
      <c r="E2082">
        <v>44</v>
      </c>
      <c r="H2082">
        <v>131</v>
      </c>
      <c r="I2082" t="s">
        <v>134</v>
      </c>
      <c r="J2082" t="s">
        <v>135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>"14:53:35.086"</f>
        <v>14:53:35.086</v>
      </c>
      <c r="T2082" t="str">
        <f>"14:53:34.586"</f>
        <v>14:53:34.586</v>
      </c>
      <c r="U2082" t="str">
        <f t="shared" si="102"/>
        <v>A0F928</v>
      </c>
      <c r="V2082">
        <v>0</v>
      </c>
      <c r="W2082">
        <v>0</v>
      </c>
      <c r="X2082">
        <v>2</v>
      </c>
      <c r="Z2082">
        <v>0</v>
      </c>
      <c r="AA2082">
        <v>9</v>
      </c>
      <c r="AB2082">
        <v>3</v>
      </c>
      <c r="AC2082">
        <v>0</v>
      </c>
      <c r="AD2082">
        <v>10</v>
      </c>
      <c r="AE2082">
        <v>0</v>
      </c>
      <c r="AF2082">
        <v>3</v>
      </c>
      <c r="AG2082">
        <v>2</v>
      </c>
      <c r="AH2082">
        <v>1</v>
      </c>
      <c r="AI2082" t="s">
        <v>1032</v>
      </c>
      <c r="AJ2082">
        <v>35.855234000000003</v>
      </c>
      <c r="AK2082" t="s">
        <v>1092</v>
      </c>
      <c r="AL2082">
        <v>-83.964365000000001</v>
      </c>
      <c r="AM2082">
        <v>25</v>
      </c>
      <c r="AN2082">
        <v>1225</v>
      </c>
      <c r="AO2082" t="s">
        <v>118</v>
      </c>
      <c r="AP2082">
        <v>72</v>
      </c>
      <c r="AQ2082">
        <v>-79</v>
      </c>
      <c r="AR2082">
        <v>-640</v>
      </c>
      <c r="AZ2082">
        <v>300</v>
      </c>
      <c r="BA2082">
        <v>1</v>
      </c>
      <c r="BB2082" t="str">
        <f t="shared" si="101"/>
        <v xml:space="preserve">N162AM  </v>
      </c>
      <c r="BC2082">
        <v>1</v>
      </c>
      <c r="BE2082">
        <v>0</v>
      </c>
      <c r="BF2082">
        <v>0</v>
      </c>
      <c r="BG2082">
        <v>0</v>
      </c>
      <c r="BH2082">
        <v>1475</v>
      </c>
      <c r="BI2082">
        <v>1</v>
      </c>
      <c r="BJ2082">
        <v>1</v>
      </c>
      <c r="BK2082">
        <v>1</v>
      </c>
      <c r="BL2082">
        <v>0</v>
      </c>
      <c r="BO2082">
        <v>0</v>
      </c>
      <c r="BP2082">
        <v>0</v>
      </c>
      <c r="BW2082" t="str">
        <f>"14:53:35.094"</f>
        <v>14:53:35.094</v>
      </c>
      <c r="CJ2082">
        <v>3</v>
      </c>
      <c r="CK2082">
        <v>2</v>
      </c>
      <c r="CL2082">
        <v>0</v>
      </c>
      <c r="CM2082">
        <v>2</v>
      </c>
      <c r="CN2082">
        <v>0</v>
      </c>
      <c r="CO2082">
        <v>5</v>
      </c>
      <c r="CP2082" t="s">
        <v>119</v>
      </c>
      <c r="CQ2082">
        <v>232</v>
      </c>
      <c r="CR2082">
        <v>1</v>
      </c>
      <c r="CW2082">
        <v>15818548</v>
      </c>
      <c r="CY2082">
        <v>1</v>
      </c>
      <c r="CZ2082">
        <v>0</v>
      </c>
      <c r="DA2082">
        <v>0</v>
      </c>
      <c r="DB2082">
        <v>0</v>
      </c>
      <c r="DC2082">
        <v>0</v>
      </c>
      <c r="DD2082">
        <v>1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3">
      <c r="A2083" t="str">
        <f>"12/16/2021 14:53:35.321"</f>
        <v>12/16/2021 14:53:35.321</v>
      </c>
      <c r="C2083" t="str">
        <f t="shared" si="100"/>
        <v>FFDFD3C0</v>
      </c>
      <c r="D2083" t="s">
        <v>113</v>
      </c>
      <c r="E2083">
        <v>8</v>
      </c>
      <c r="H2083">
        <v>176</v>
      </c>
      <c r="I2083" t="s">
        <v>114</v>
      </c>
      <c r="J2083" t="s">
        <v>115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>"14:53:35.086"</f>
        <v>14:53:35.086</v>
      </c>
      <c r="T2083" t="str">
        <f>"14:53:34.586"</f>
        <v>14:53:34.586</v>
      </c>
      <c r="U2083" t="str">
        <f t="shared" si="102"/>
        <v>A0F928</v>
      </c>
      <c r="V2083">
        <v>0</v>
      </c>
      <c r="W2083">
        <v>0</v>
      </c>
      <c r="X2083">
        <v>2</v>
      </c>
      <c r="Z2083">
        <v>0</v>
      </c>
      <c r="AA2083">
        <v>9</v>
      </c>
      <c r="AB2083">
        <v>3</v>
      </c>
      <c r="AC2083">
        <v>0</v>
      </c>
      <c r="AD2083">
        <v>10</v>
      </c>
      <c r="AE2083">
        <v>0</v>
      </c>
      <c r="AF2083">
        <v>3</v>
      </c>
      <c r="AG2083">
        <v>2</v>
      </c>
      <c r="AH2083">
        <v>1</v>
      </c>
      <c r="AI2083" t="s">
        <v>1032</v>
      </c>
      <c r="AJ2083">
        <v>35.855234000000003</v>
      </c>
      <c r="AK2083" t="s">
        <v>1092</v>
      </c>
      <c r="AL2083">
        <v>-83.964365000000001</v>
      </c>
      <c r="AM2083">
        <v>25</v>
      </c>
      <c r="AN2083">
        <v>1225</v>
      </c>
      <c r="AO2083" t="s">
        <v>118</v>
      </c>
      <c r="AP2083">
        <v>72</v>
      </c>
      <c r="AQ2083">
        <v>-79</v>
      </c>
      <c r="AR2083">
        <v>-640</v>
      </c>
      <c r="AZ2083">
        <v>300</v>
      </c>
      <c r="BA2083">
        <v>1</v>
      </c>
      <c r="BB2083" t="str">
        <f t="shared" si="101"/>
        <v xml:space="preserve">N162AM  </v>
      </c>
      <c r="BC2083">
        <v>1</v>
      </c>
      <c r="BE2083">
        <v>0</v>
      </c>
      <c r="BF2083">
        <v>0</v>
      </c>
      <c r="BG2083">
        <v>0</v>
      </c>
      <c r="BH2083">
        <v>1475</v>
      </c>
      <c r="BI2083">
        <v>1</v>
      </c>
      <c r="BJ2083">
        <v>1</v>
      </c>
      <c r="BK2083">
        <v>1</v>
      </c>
      <c r="BL2083">
        <v>0</v>
      </c>
      <c r="BO2083">
        <v>0</v>
      </c>
      <c r="BP2083">
        <v>0</v>
      </c>
      <c r="BW2083" t="str">
        <f>"14:53:35.094"</f>
        <v>14:53:35.094</v>
      </c>
      <c r="CJ2083">
        <v>3</v>
      </c>
      <c r="CK2083">
        <v>2</v>
      </c>
      <c r="CL2083">
        <v>0</v>
      </c>
      <c r="CM2083">
        <v>2</v>
      </c>
      <c r="CN2083">
        <v>0</v>
      </c>
      <c r="CO2083">
        <v>5</v>
      </c>
      <c r="CP2083" t="s">
        <v>119</v>
      </c>
      <c r="CQ2083">
        <v>232</v>
      </c>
      <c r="CR2083">
        <v>1</v>
      </c>
      <c r="CW2083">
        <v>15818548</v>
      </c>
      <c r="CY2083">
        <v>1</v>
      </c>
      <c r="CZ2083">
        <v>0</v>
      </c>
      <c r="DA2083">
        <v>1</v>
      </c>
      <c r="DB2083">
        <v>0</v>
      </c>
      <c r="DC2083">
        <v>0</v>
      </c>
      <c r="DD2083">
        <v>1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3">
      <c r="A2084" t="str">
        <f>"12/16/2021 14:53:35.321"</f>
        <v>12/16/2021 14:53:35.321</v>
      </c>
      <c r="C2084" t="str">
        <f t="shared" si="100"/>
        <v>FFDFD3C0</v>
      </c>
      <c r="D2084" t="s">
        <v>124</v>
      </c>
      <c r="E2084">
        <v>5</v>
      </c>
      <c r="F2084">
        <v>1005</v>
      </c>
      <c r="G2084" t="s">
        <v>114</v>
      </c>
      <c r="J2084" t="s">
        <v>125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>"14:53:35.086"</f>
        <v>14:53:35.086</v>
      </c>
      <c r="T2084" t="str">
        <f>"14:53:34.586"</f>
        <v>14:53:34.586</v>
      </c>
      <c r="U2084" t="str">
        <f t="shared" si="102"/>
        <v>A0F928</v>
      </c>
      <c r="V2084">
        <v>0</v>
      </c>
      <c r="W2084">
        <v>0</v>
      </c>
      <c r="X2084">
        <v>2</v>
      </c>
      <c r="Z2084">
        <v>0</v>
      </c>
      <c r="AA2084">
        <v>9</v>
      </c>
      <c r="AB2084">
        <v>3</v>
      </c>
      <c r="AC2084">
        <v>0</v>
      </c>
      <c r="AD2084">
        <v>10</v>
      </c>
      <c r="AE2084">
        <v>0</v>
      </c>
      <c r="AF2084">
        <v>3</v>
      </c>
      <c r="AG2084">
        <v>2</v>
      </c>
      <c r="AH2084">
        <v>1</v>
      </c>
      <c r="AI2084" t="s">
        <v>1032</v>
      </c>
      <c r="AJ2084">
        <v>35.855234000000003</v>
      </c>
      <c r="AK2084" t="s">
        <v>1092</v>
      </c>
      <c r="AL2084">
        <v>-83.964365000000001</v>
      </c>
      <c r="AM2084">
        <v>25</v>
      </c>
      <c r="AN2084">
        <v>1225</v>
      </c>
      <c r="AO2084" t="s">
        <v>118</v>
      </c>
      <c r="AP2084">
        <v>72</v>
      </c>
      <c r="AQ2084">
        <v>-79</v>
      </c>
      <c r="AR2084">
        <v>-640</v>
      </c>
      <c r="AZ2084">
        <v>300</v>
      </c>
      <c r="BA2084">
        <v>1</v>
      </c>
      <c r="BB2084" t="str">
        <f t="shared" si="101"/>
        <v xml:space="preserve">N162AM  </v>
      </c>
      <c r="BC2084">
        <v>1</v>
      </c>
      <c r="BE2084">
        <v>0</v>
      </c>
      <c r="BF2084">
        <v>0</v>
      </c>
      <c r="BG2084">
        <v>0</v>
      </c>
      <c r="BH2084">
        <v>1475</v>
      </c>
      <c r="BI2084">
        <v>1</v>
      </c>
      <c r="BJ2084">
        <v>1</v>
      </c>
      <c r="BK2084">
        <v>1</v>
      </c>
      <c r="BL2084">
        <v>0</v>
      </c>
      <c r="BO2084">
        <v>0</v>
      </c>
      <c r="BP2084">
        <v>0</v>
      </c>
      <c r="BW2084" t="str">
        <f>"14:53:35.094"</f>
        <v>14:53:35.094</v>
      </c>
      <c r="CJ2084">
        <v>3</v>
      </c>
      <c r="CK2084">
        <v>2</v>
      </c>
      <c r="CL2084">
        <v>0</v>
      </c>
      <c r="CM2084">
        <v>2</v>
      </c>
      <c r="CN2084">
        <v>0</v>
      </c>
      <c r="CO2084">
        <v>5</v>
      </c>
      <c r="CP2084" t="s">
        <v>119</v>
      </c>
      <c r="CQ2084">
        <v>232</v>
      </c>
      <c r="CR2084">
        <v>1</v>
      </c>
      <c r="CW2084">
        <v>15818548</v>
      </c>
      <c r="CY2084">
        <v>1</v>
      </c>
      <c r="CZ2084">
        <v>0</v>
      </c>
      <c r="DA2084">
        <v>1</v>
      </c>
      <c r="DB2084">
        <v>0</v>
      </c>
      <c r="DC2084">
        <v>0</v>
      </c>
      <c r="DD2084">
        <v>1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3">
      <c r="A2085" t="str">
        <f>"12/16/2021 14:53:35.321"</f>
        <v>12/16/2021 14:53:35.321</v>
      </c>
      <c r="C2085" t="str">
        <f t="shared" si="100"/>
        <v>FFDFD3C0</v>
      </c>
      <c r="D2085" t="s">
        <v>124</v>
      </c>
      <c r="E2085">
        <v>10</v>
      </c>
      <c r="F2085">
        <v>1010</v>
      </c>
      <c r="G2085" t="s">
        <v>130</v>
      </c>
      <c r="J2085" t="s">
        <v>125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>"14:53:35.086"</f>
        <v>14:53:35.086</v>
      </c>
      <c r="T2085" t="str">
        <f>"14:53:34.586"</f>
        <v>14:53:34.586</v>
      </c>
      <c r="U2085" t="str">
        <f t="shared" si="102"/>
        <v>A0F928</v>
      </c>
      <c r="V2085">
        <v>0</v>
      </c>
      <c r="W2085">
        <v>0</v>
      </c>
      <c r="X2085">
        <v>2</v>
      </c>
      <c r="Z2085">
        <v>0</v>
      </c>
      <c r="AA2085">
        <v>9</v>
      </c>
      <c r="AB2085">
        <v>3</v>
      </c>
      <c r="AC2085">
        <v>0</v>
      </c>
      <c r="AD2085">
        <v>10</v>
      </c>
      <c r="AE2085">
        <v>0</v>
      </c>
      <c r="AF2085">
        <v>0</v>
      </c>
      <c r="AG2085">
        <v>2</v>
      </c>
      <c r="AH2085">
        <v>1</v>
      </c>
      <c r="AI2085" t="s">
        <v>1032</v>
      </c>
      <c r="AJ2085">
        <v>35.855234000000003</v>
      </c>
      <c r="AK2085" t="s">
        <v>1092</v>
      </c>
      <c r="AL2085">
        <v>-83.964365000000001</v>
      </c>
      <c r="AM2085">
        <v>25</v>
      </c>
      <c r="AN2085">
        <v>1225</v>
      </c>
      <c r="AO2085" t="s">
        <v>118</v>
      </c>
      <c r="AP2085">
        <v>72</v>
      </c>
      <c r="AQ2085">
        <v>-79</v>
      </c>
      <c r="AR2085">
        <v>-640</v>
      </c>
      <c r="AZ2085">
        <v>300</v>
      </c>
      <c r="BA2085">
        <v>1</v>
      </c>
      <c r="BB2085" t="str">
        <f t="shared" si="101"/>
        <v xml:space="preserve">N162AM  </v>
      </c>
      <c r="BC2085">
        <v>1</v>
      </c>
      <c r="BE2085">
        <v>0</v>
      </c>
      <c r="BF2085">
        <v>0</v>
      </c>
      <c r="BG2085">
        <v>0</v>
      </c>
      <c r="BH2085">
        <v>1475</v>
      </c>
      <c r="BI2085">
        <v>1</v>
      </c>
      <c r="BJ2085">
        <v>1</v>
      </c>
      <c r="BK2085">
        <v>1</v>
      </c>
      <c r="BL2085">
        <v>0</v>
      </c>
      <c r="BO2085">
        <v>0</v>
      </c>
      <c r="BP2085">
        <v>0</v>
      </c>
      <c r="BW2085" t="str">
        <f>"14:53:35.094"</f>
        <v>14:53:35.094</v>
      </c>
      <c r="CJ2085">
        <v>2</v>
      </c>
      <c r="CK2085">
        <v>2</v>
      </c>
      <c r="CL2085">
        <v>0</v>
      </c>
      <c r="CM2085">
        <v>2</v>
      </c>
      <c r="CN2085">
        <v>0</v>
      </c>
      <c r="CO2085">
        <v>5</v>
      </c>
      <c r="CP2085" t="s">
        <v>119</v>
      </c>
      <c r="CQ2085">
        <v>232</v>
      </c>
      <c r="CR2085">
        <v>1</v>
      </c>
      <c r="CW2085">
        <v>15818548</v>
      </c>
      <c r="CY2085">
        <v>1</v>
      </c>
      <c r="CZ2085">
        <v>0</v>
      </c>
      <c r="DA2085">
        <v>1</v>
      </c>
      <c r="DB2085">
        <v>0</v>
      </c>
      <c r="DC2085">
        <v>0</v>
      </c>
      <c r="DD2085">
        <v>1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3">
      <c r="A2086" t="str">
        <f>"12/16/2021 14:53:36.243"</f>
        <v>12/16/2021 14:53:36.243</v>
      </c>
      <c r="C2086" t="str">
        <f t="shared" si="100"/>
        <v>FFDFD3C0</v>
      </c>
      <c r="D2086" t="s">
        <v>113</v>
      </c>
      <c r="E2086">
        <v>8</v>
      </c>
      <c r="H2086">
        <v>176</v>
      </c>
      <c r="I2086" t="s">
        <v>114</v>
      </c>
      <c r="J2086" t="s">
        <v>115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>"14:53:35.969"</f>
        <v>14:53:35.969</v>
      </c>
      <c r="T2086" t="str">
        <f>"14:53:35.169"</f>
        <v>14:53:35.169</v>
      </c>
      <c r="U2086" t="str">
        <f t="shared" si="102"/>
        <v>A0F928</v>
      </c>
      <c r="V2086">
        <v>0</v>
      </c>
      <c r="W2086">
        <v>0</v>
      </c>
      <c r="X2086">
        <v>2</v>
      </c>
      <c r="Z2086">
        <v>0</v>
      </c>
      <c r="AA2086">
        <v>9</v>
      </c>
      <c r="AB2086">
        <v>3</v>
      </c>
      <c r="AC2086">
        <v>0</v>
      </c>
      <c r="AD2086">
        <v>10</v>
      </c>
      <c r="AE2086">
        <v>0</v>
      </c>
      <c r="AF2086">
        <v>3</v>
      </c>
      <c r="AG2086">
        <v>2</v>
      </c>
      <c r="AH2086">
        <v>1</v>
      </c>
      <c r="AI2086" t="s">
        <v>1030</v>
      </c>
      <c r="AJ2086">
        <v>35.854889999999997</v>
      </c>
      <c r="AK2086" t="s">
        <v>1093</v>
      </c>
      <c r="AL2086">
        <v>-83.963977999999997</v>
      </c>
      <c r="AM2086">
        <v>25</v>
      </c>
      <c r="AN2086">
        <v>1200</v>
      </c>
      <c r="AO2086" t="s">
        <v>118</v>
      </c>
      <c r="AP2086">
        <v>71</v>
      </c>
      <c r="AQ2086">
        <v>-80</v>
      </c>
      <c r="AR2086">
        <v>-576</v>
      </c>
      <c r="AZ2086">
        <v>300</v>
      </c>
      <c r="BA2086">
        <v>1</v>
      </c>
      <c r="BB2086" t="str">
        <f t="shared" si="101"/>
        <v xml:space="preserve">N162AM  </v>
      </c>
      <c r="BC2086">
        <v>1</v>
      </c>
      <c r="BE2086">
        <v>0</v>
      </c>
      <c r="BF2086">
        <v>0</v>
      </c>
      <c r="BG2086">
        <v>0</v>
      </c>
      <c r="BH2086">
        <v>1475</v>
      </c>
      <c r="BI2086">
        <v>1</v>
      </c>
      <c r="BJ2086">
        <v>1</v>
      </c>
      <c r="BK2086">
        <v>1</v>
      </c>
      <c r="BL2086">
        <v>0</v>
      </c>
      <c r="BO2086">
        <v>0</v>
      </c>
      <c r="BP2086">
        <v>0</v>
      </c>
      <c r="BW2086" t="str">
        <f>"14:53:35.970"</f>
        <v>14:53:35.970</v>
      </c>
      <c r="CJ2086">
        <v>3</v>
      </c>
      <c r="CK2086">
        <v>2</v>
      </c>
      <c r="CL2086">
        <v>0</v>
      </c>
      <c r="CM2086">
        <v>2</v>
      </c>
      <c r="CN2086">
        <v>0</v>
      </c>
      <c r="CO2086">
        <v>5</v>
      </c>
      <c r="CP2086" t="s">
        <v>119</v>
      </c>
      <c r="CQ2086">
        <v>232</v>
      </c>
      <c r="CR2086">
        <v>1</v>
      </c>
      <c r="CW2086">
        <v>15819935</v>
      </c>
      <c r="CY2086">
        <v>1</v>
      </c>
      <c r="CZ2086">
        <v>0</v>
      </c>
      <c r="DA2086">
        <v>0</v>
      </c>
      <c r="DB2086">
        <v>0</v>
      </c>
      <c r="DC2086">
        <v>0</v>
      </c>
      <c r="DD2086">
        <v>1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3">
      <c r="A2087" t="str">
        <f>"12/16/2021 14:53:36.243"</f>
        <v>12/16/2021 14:53:36.243</v>
      </c>
      <c r="C2087" t="str">
        <f t="shared" si="100"/>
        <v>FFDFD3C0</v>
      </c>
      <c r="D2087" t="s">
        <v>124</v>
      </c>
      <c r="E2087">
        <v>5</v>
      </c>
      <c r="F2087">
        <v>1005</v>
      </c>
      <c r="G2087" t="s">
        <v>114</v>
      </c>
      <c r="J2087" t="s">
        <v>125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>"14:53:35.969"</f>
        <v>14:53:35.969</v>
      </c>
      <c r="T2087" t="str">
        <f>"14:53:35.169"</f>
        <v>14:53:35.169</v>
      </c>
      <c r="U2087" t="str">
        <f t="shared" si="102"/>
        <v>A0F928</v>
      </c>
      <c r="V2087">
        <v>0</v>
      </c>
      <c r="W2087">
        <v>0</v>
      </c>
      <c r="X2087">
        <v>2</v>
      </c>
      <c r="Z2087">
        <v>0</v>
      </c>
      <c r="AA2087">
        <v>9</v>
      </c>
      <c r="AB2087">
        <v>3</v>
      </c>
      <c r="AC2087">
        <v>0</v>
      </c>
      <c r="AD2087">
        <v>10</v>
      </c>
      <c r="AE2087">
        <v>0</v>
      </c>
      <c r="AF2087">
        <v>3</v>
      </c>
      <c r="AG2087">
        <v>2</v>
      </c>
      <c r="AH2087">
        <v>1</v>
      </c>
      <c r="AI2087" t="s">
        <v>1030</v>
      </c>
      <c r="AJ2087">
        <v>35.854889999999997</v>
      </c>
      <c r="AK2087" t="s">
        <v>1093</v>
      </c>
      <c r="AL2087">
        <v>-83.963977999999997</v>
      </c>
      <c r="AM2087">
        <v>25</v>
      </c>
      <c r="AN2087">
        <v>1200</v>
      </c>
      <c r="AO2087" t="s">
        <v>118</v>
      </c>
      <c r="AP2087">
        <v>71</v>
      </c>
      <c r="AQ2087">
        <v>-80</v>
      </c>
      <c r="AR2087">
        <v>-576</v>
      </c>
      <c r="AZ2087">
        <v>300</v>
      </c>
      <c r="BA2087">
        <v>1</v>
      </c>
      <c r="BB2087" t="str">
        <f t="shared" si="101"/>
        <v xml:space="preserve">N162AM  </v>
      </c>
      <c r="BC2087">
        <v>1</v>
      </c>
      <c r="BE2087">
        <v>0</v>
      </c>
      <c r="BF2087">
        <v>0</v>
      </c>
      <c r="BG2087">
        <v>0</v>
      </c>
      <c r="BH2087">
        <v>1475</v>
      </c>
      <c r="BI2087">
        <v>1</v>
      </c>
      <c r="BJ2087">
        <v>1</v>
      </c>
      <c r="BK2087">
        <v>1</v>
      </c>
      <c r="BL2087">
        <v>0</v>
      </c>
      <c r="BO2087">
        <v>0</v>
      </c>
      <c r="BP2087">
        <v>0</v>
      </c>
      <c r="BW2087" t="str">
        <f>"14:53:35.970"</f>
        <v>14:53:35.970</v>
      </c>
      <c r="CJ2087">
        <v>3</v>
      </c>
      <c r="CK2087">
        <v>2</v>
      </c>
      <c r="CL2087">
        <v>0</v>
      </c>
      <c r="CM2087">
        <v>2</v>
      </c>
      <c r="CN2087">
        <v>0</v>
      </c>
      <c r="CO2087">
        <v>5</v>
      </c>
      <c r="CP2087" t="s">
        <v>119</v>
      </c>
      <c r="CQ2087">
        <v>232</v>
      </c>
      <c r="CR2087">
        <v>1</v>
      </c>
      <c r="CW2087">
        <v>15819935</v>
      </c>
      <c r="CY2087">
        <v>1</v>
      </c>
      <c r="CZ2087">
        <v>0</v>
      </c>
      <c r="DA2087">
        <v>1</v>
      </c>
      <c r="DB2087">
        <v>0</v>
      </c>
      <c r="DC2087">
        <v>0</v>
      </c>
      <c r="DD2087">
        <v>1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3">
      <c r="A2088" t="str">
        <f>"12/16/2021 14:53:36.243"</f>
        <v>12/16/2021 14:53:36.243</v>
      </c>
      <c r="C2088" t="str">
        <f t="shared" si="100"/>
        <v>FFDFD3C0</v>
      </c>
      <c r="D2088" t="s">
        <v>124</v>
      </c>
      <c r="E2088">
        <v>10</v>
      </c>
      <c r="F2088">
        <v>1010</v>
      </c>
      <c r="G2088" t="s">
        <v>130</v>
      </c>
      <c r="J2088" t="s">
        <v>125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>"14:53:35.969"</f>
        <v>14:53:35.969</v>
      </c>
      <c r="T2088" t="str">
        <f>"14:53:35.169"</f>
        <v>14:53:35.169</v>
      </c>
      <c r="U2088" t="str">
        <f t="shared" si="102"/>
        <v>A0F928</v>
      </c>
      <c r="V2088">
        <v>0</v>
      </c>
      <c r="W2088">
        <v>0</v>
      </c>
      <c r="X2088">
        <v>2</v>
      </c>
      <c r="Z2088">
        <v>0</v>
      </c>
      <c r="AA2088">
        <v>9</v>
      </c>
      <c r="AB2088">
        <v>3</v>
      </c>
      <c r="AC2088">
        <v>0</v>
      </c>
      <c r="AD2088">
        <v>10</v>
      </c>
      <c r="AE2088">
        <v>0</v>
      </c>
      <c r="AF2088">
        <v>0</v>
      </c>
      <c r="AG2088">
        <v>2</v>
      </c>
      <c r="AH2088">
        <v>1</v>
      </c>
      <c r="AI2088" t="s">
        <v>1030</v>
      </c>
      <c r="AJ2088">
        <v>35.854889999999997</v>
      </c>
      <c r="AK2088" t="s">
        <v>1093</v>
      </c>
      <c r="AL2088">
        <v>-83.963977999999997</v>
      </c>
      <c r="AM2088">
        <v>25</v>
      </c>
      <c r="AN2088">
        <v>1200</v>
      </c>
      <c r="AO2088" t="s">
        <v>118</v>
      </c>
      <c r="AP2088">
        <v>71</v>
      </c>
      <c r="AQ2088">
        <v>-80</v>
      </c>
      <c r="AR2088">
        <v>-576</v>
      </c>
      <c r="AZ2088">
        <v>300</v>
      </c>
      <c r="BA2088">
        <v>1</v>
      </c>
      <c r="BB2088" t="str">
        <f t="shared" si="101"/>
        <v xml:space="preserve">N162AM  </v>
      </c>
      <c r="BC2088">
        <v>1</v>
      </c>
      <c r="BE2088">
        <v>0</v>
      </c>
      <c r="BF2088">
        <v>0</v>
      </c>
      <c r="BG2088">
        <v>0</v>
      </c>
      <c r="BH2088">
        <v>1475</v>
      </c>
      <c r="BI2088">
        <v>1</v>
      </c>
      <c r="BJ2088">
        <v>1</v>
      </c>
      <c r="BK2088">
        <v>1</v>
      </c>
      <c r="BL2088">
        <v>0</v>
      </c>
      <c r="BO2088">
        <v>0</v>
      </c>
      <c r="BP2088">
        <v>0</v>
      </c>
      <c r="BW2088" t="str">
        <f>"14:53:35.970"</f>
        <v>14:53:35.970</v>
      </c>
      <c r="CJ2088">
        <v>2</v>
      </c>
      <c r="CK2088">
        <v>2</v>
      </c>
      <c r="CL2088">
        <v>0</v>
      </c>
      <c r="CM2088">
        <v>2</v>
      </c>
      <c r="CN2088">
        <v>0</v>
      </c>
      <c r="CO2088">
        <v>5</v>
      </c>
      <c r="CP2088" t="s">
        <v>119</v>
      </c>
      <c r="CQ2088">
        <v>232</v>
      </c>
      <c r="CR2088">
        <v>1</v>
      </c>
      <c r="CW2088">
        <v>15819935</v>
      </c>
      <c r="CY2088">
        <v>1</v>
      </c>
      <c r="CZ2088">
        <v>0</v>
      </c>
      <c r="DA2088">
        <v>1</v>
      </c>
      <c r="DB2088">
        <v>0</v>
      </c>
      <c r="DC2088">
        <v>0</v>
      </c>
      <c r="DD2088">
        <v>1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3">
      <c r="A2089" t="str">
        <f>"12/16/2021 14:53:36.243"</f>
        <v>12/16/2021 14:53:36.243</v>
      </c>
      <c r="C2089" t="str">
        <f t="shared" si="100"/>
        <v>FFDFD3C0</v>
      </c>
      <c r="D2089" t="s">
        <v>133</v>
      </c>
      <c r="E2089">
        <v>44</v>
      </c>
      <c r="H2089">
        <v>131</v>
      </c>
      <c r="I2089" t="s">
        <v>134</v>
      </c>
      <c r="J2089" t="s">
        <v>135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>"14:53:35.969"</f>
        <v>14:53:35.969</v>
      </c>
      <c r="T2089" t="str">
        <f>"14:53:35.169"</f>
        <v>14:53:35.169</v>
      </c>
      <c r="U2089" t="str">
        <f t="shared" si="102"/>
        <v>A0F928</v>
      </c>
      <c r="V2089">
        <v>0</v>
      </c>
      <c r="W2089">
        <v>0</v>
      </c>
      <c r="X2089">
        <v>2</v>
      </c>
      <c r="Z2089">
        <v>0</v>
      </c>
      <c r="AA2089">
        <v>9</v>
      </c>
      <c r="AB2089">
        <v>3</v>
      </c>
      <c r="AC2089">
        <v>0</v>
      </c>
      <c r="AD2089">
        <v>10</v>
      </c>
      <c r="AE2089">
        <v>0</v>
      </c>
      <c r="AF2089">
        <v>3</v>
      </c>
      <c r="AG2089">
        <v>2</v>
      </c>
      <c r="AH2089">
        <v>1</v>
      </c>
      <c r="AI2089" t="s">
        <v>1030</v>
      </c>
      <c r="AJ2089">
        <v>35.854889999999997</v>
      </c>
      <c r="AK2089" t="s">
        <v>1093</v>
      </c>
      <c r="AL2089">
        <v>-83.963977999999997</v>
      </c>
      <c r="AM2089">
        <v>25</v>
      </c>
      <c r="AN2089">
        <v>1200</v>
      </c>
      <c r="AO2089" t="s">
        <v>118</v>
      </c>
      <c r="AP2089">
        <v>71</v>
      </c>
      <c r="AQ2089">
        <v>-80</v>
      </c>
      <c r="AR2089">
        <v>-576</v>
      </c>
      <c r="AZ2089">
        <v>300</v>
      </c>
      <c r="BA2089">
        <v>1</v>
      </c>
      <c r="BB2089" t="str">
        <f t="shared" si="101"/>
        <v xml:space="preserve">N162AM  </v>
      </c>
      <c r="BC2089">
        <v>1</v>
      </c>
      <c r="BE2089">
        <v>0</v>
      </c>
      <c r="BF2089">
        <v>0</v>
      </c>
      <c r="BG2089">
        <v>0</v>
      </c>
      <c r="BH2089">
        <v>1475</v>
      </c>
      <c r="BI2089">
        <v>1</v>
      </c>
      <c r="BJ2089">
        <v>1</v>
      </c>
      <c r="BK2089">
        <v>1</v>
      </c>
      <c r="BL2089">
        <v>0</v>
      </c>
      <c r="BO2089">
        <v>0</v>
      </c>
      <c r="BP2089">
        <v>0</v>
      </c>
      <c r="BW2089" t="str">
        <f>"14:53:35.970"</f>
        <v>14:53:35.970</v>
      </c>
      <c r="CJ2089">
        <v>3</v>
      </c>
      <c r="CK2089">
        <v>2</v>
      </c>
      <c r="CL2089">
        <v>0</v>
      </c>
      <c r="CM2089">
        <v>2</v>
      </c>
      <c r="CN2089">
        <v>0</v>
      </c>
      <c r="CO2089">
        <v>5</v>
      </c>
      <c r="CP2089" t="s">
        <v>119</v>
      </c>
      <c r="CQ2089">
        <v>232</v>
      </c>
      <c r="CR2089">
        <v>1</v>
      </c>
      <c r="CW2089">
        <v>15819935</v>
      </c>
      <c r="CY2089">
        <v>1</v>
      </c>
      <c r="CZ2089">
        <v>0</v>
      </c>
      <c r="DA2089">
        <v>1</v>
      </c>
      <c r="DB2089">
        <v>0</v>
      </c>
      <c r="DC2089">
        <v>0</v>
      </c>
      <c r="DD2089">
        <v>1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3">
      <c r="A2090" t="str">
        <f>"12/16/2021 14:53:37.165"</f>
        <v>12/16/2021 14:53:37.165</v>
      </c>
      <c r="C2090" t="str">
        <f t="shared" si="100"/>
        <v>FFDFD3C0</v>
      </c>
      <c r="D2090" t="s">
        <v>133</v>
      </c>
      <c r="E2090">
        <v>44</v>
      </c>
      <c r="H2090">
        <v>131</v>
      </c>
      <c r="I2090" t="s">
        <v>134</v>
      </c>
      <c r="J2090" t="s">
        <v>135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>"14:53:36.914"</f>
        <v>14:53:36.914</v>
      </c>
      <c r="T2090" t="str">
        <f>"14:53:36.014"</f>
        <v>14:53:36.014</v>
      </c>
      <c r="U2090" t="str">
        <f t="shared" si="102"/>
        <v>A0F928</v>
      </c>
      <c r="V2090">
        <v>0</v>
      </c>
      <c r="W2090">
        <v>0</v>
      </c>
      <c r="X2090">
        <v>2</v>
      </c>
      <c r="Z2090">
        <v>0</v>
      </c>
      <c r="AA2090">
        <v>9</v>
      </c>
      <c r="AB2090">
        <v>3</v>
      </c>
      <c r="AC2090">
        <v>0</v>
      </c>
      <c r="AD2090">
        <v>10</v>
      </c>
      <c r="AE2090">
        <v>0</v>
      </c>
      <c r="AF2090">
        <v>3</v>
      </c>
      <c r="AG2090">
        <v>2</v>
      </c>
      <c r="AH2090">
        <v>1</v>
      </c>
      <c r="AI2090" t="s">
        <v>1094</v>
      </c>
      <c r="AJ2090">
        <v>35.854526</v>
      </c>
      <c r="AK2090" t="s">
        <v>1095</v>
      </c>
      <c r="AL2090">
        <v>-83.963656</v>
      </c>
      <c r="AM2090">
        <v>25</v>
      </c>
      <c r="AN2090">
        <v>1200</v>
      </c>
      <c r="AO2090" t="s">
        <v>118</v>
      </c>
      <c r="AP2090">
        <v>70</v>
      </c>
      <c r="AQ2090">
        <v>-81</v>
      </c>
      <c r="AR2090">
        <v>-576</v>
      </c>
      <c r="AZ2090">
        <v>300</v>
      </c>
      <c r="BA2090">
        <v>1</v>
      </c>
      <c r="BB2090" t="str">
        <f t="shared" si="101"/>
        <v xml:space="preserve">N162AM  </v>
      </c>
      <c r="BC2090">
        <v>1</v>
      </c>
      <c r="BE2090">
        <v>0</v>
      </c>
      <c r="BF2090">
        <v>0</v>
      </c>
      <c r="BG2090">
        <v>0</v>
      </c>
      <c r="BH2090">
        <v>1450</v>
      </c>
      <c r="BI2090">
        <v>1</v>
      </c>
      <c r="BJ2090">
        <v>1</v>
      </c>
      <c r="BK2090">
        <v>1</v>
      </c>
      <c r="BL2090">
        <v>0</v>
      </c>
      <c r="BO2090">
        <v>0</v>
      </c>
      <c r="BP2090">
        <v>0</v>
      </c>
      <c r="BW2090" t="str">
        <f>"14:53:36.920"</f>
        <v>14:53:36.920</v>
      </c>
      <c r="CJ2090">
        <v>3</v>
      </c>
      <c r="CK2090">
        <v>2</v>
      </c>
      <c r="CL2090">
        <v>0</v>
      </c>
      <c r="CM2090">
        <v>2</v>
      </c>
      <c r="CN2090">
        <v>0</v>
      </c>
      <c r="CO2090">
        <v>5</v>
      </c>
      <c r="CP2090" t="s">
        <v>119</v>
      </c>
      <c r="CQ2090">
        <v>232</v>
      </c>
      <c r="CR2090">
        <v>1</v>
      </c>
      <c r="CW2090">
        <v>15821413</v>
      </c>
      <c r="CY2090">
        <v>1</v>
      </c>
      <c r="CZ2090">
        <v>0</v>
      </c>
      <c r="DA2090">
        <v>0</v>
      </c>
      <c r="DB2090">
        <v>0</v>
      </c>
      <c r="DC2090">
        <v>0</v>
      </c>
      <c r="DD2090">
        <v>1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3">
      <c r="A2091" t="str">
        <f>"12/16/2021 14:53:37.165"</f>
        <v>12/16/2021 14:53:37.165</v>
      </c>
      <c r="C2091" t="str">
        <f t="shared" si="100"/>
        <v>FFDFD3C0</v>
      </c>
      <c r="D2091" t="s">
        <v>124</v>
      </c>
      <c r="E2091">
        <v>5</v>
      </c>
      <c r="F2091">
        <v>1005</v>
      </c>
      <c r="G2091" t="s">
        <v>114</v>
      </c>
      <c r="J2091" t="s">
        <v>125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>"14:53:36.914"</f>
        <v>14:53:36.914</v>
      </c>
      <c r="T2091" t="str">
        <f>"14:53:36.014"</f>
        <v>14:53:36.014</v>
      </c>
      <c r="U2091" t="str">
        <f t="shared" si="102"/>
        <v>A0F928</v>
      </c>
      <c r="V2091">
        <v>0</v>
      </c>
      <c r="W2091">
        <v>0</v>
      </c>
      <c r="X2091">
        <v>2</v>
      </c>
      <c r="Z2091">
        <v>0</v>
      </c>
      <c r="AA2091">
        <v>9</v>
      </c>
      <c r="AB2091">
        <v>3</v>
      </c>
      <c r="AC2091">
        <v>0</v>
      </c>
      <c r="AD2091">
        <v>10</v>
      </c>
      <c r="AE2091">
        <v>0</v>
      </c>
      <c r="AF2091">
        <v>3</v>
      </c>
      <c r="AG2091">
        <v>2</v>
      </c>
      <c r="AH2091">
        <v>1</v>
      </c>
      <c r="AI2091" t="s">
        <v>1094</v>
      </c>
      <c r="AJ2091">
        <v>35.854526</v>
      </c>
      <c r="AK2091" t="s">
        <v>1095</v>
      </c>
      <c r="AL2091">
        <v>-83.963656</v>
      </c>
      <c r="AM2091">
        <v>25</v>
      </c>
      <c r="AN2091">
        <v>1200</v>
      </c>
      <c r="AO2091" t="s">
        <v>118</v>
      </c>
      <c r="AP2091">
        <v>70</v>
      </c>
      <c r="AQ2091">
        <v>-81</v>
      </c>
      <c r="AR2091">
        <v>-576</v>
      </c>
      <c r="AZ2091">
        <v>300</v>
      </c>
      <c r="BA2091">
        <v>1</v>
      </c>
      <c r="BB2091" t="str">
        <f t="shared" si="101"/>
        <v xml:space="preserve">N162AM  </v>
      </c>
      <c r="BC2091">
        <v>1</v>
      </c>
      <c r="BE2091">
        <v>0</v>
      </c>
      <c r="BF2091">
        <v>0</v>
      </c>
      <c r="BG2091">
        <v>0</v>
      </c>
      <c r="BH2091">
        <v>1450</v>
      </c>
      <c r="BI2091">
        <v>1</v>
      </c>
      <c r="BJ2091">
        <v>1</v>
      </c>
      <c r="BK2091">
        <v>1</v>
      </c>
      <c r="BL2091">
        <v>0</v>
      </c>
      <c r="BO2091">
        <v>0</v>
      </c>
      <c r="BP2091">
        <v>0</v>
      </c>
      <c r="BW2091" t="str">
        <f>"14:53:36.920"</f>
        <v>14:53:36.920</v>
      </c>
      <c r="CJ2091">
        <v>3</v>
      </c>
      <c r="CK2091">
        <v>2</v>
      </c>
      <c r="CL2091">
        <v>0</v>
      </c>
      <c r="CM2091">
        <v>2</v>
      </c>
      <c r="CN2091">
        <v>0</v>
      </c>
      <c r="CO2091">
        <v>5</v>
      </c>
      <c r="CP2091" t="s">
        <v>119</v>
      </c>
      <c r="CQ2091">
        <v>232</v>
      </c>
      <c r="CR2091">
        <v>1</v>
      </c>
      <c r="CW2091">
        <v>15821413</v>
      </c>
      <c r="CY2091">
        <v>1</v>
      </c>
      <c r="CZ2091">
        <v>0</v>
      </c>
      <c r="DA2091">
        <v>1</v>
      </c>
      <c r="DB2091">
        <v>0</v>
      </c>
      <c r="DC2091">
        <v>0</v>
      </c>
      <c r="DD2091">
        <v>1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3">
      <c r="A2092" t="str">
        <f>"12/16/2021 14:53:37.165"</f>
        <v>12/16/2021 14:53:37.165</v>
      </c>
      <c r="C2092" t="str">
        <f t="shared" si="100"/>
        <v>FFDFD3C0</v>
      </c>
      <c r="D2092" t="s">
        <v>124</v>
      </c>
      <c r="E2092">
        <v>10</v>
      </c>
      <c r="F2092">
        <v>1010</v>
      </c>
      <c r="G2092" t="s">
        <v>130</v>
      </c>
      <c r="J2092" t="s">
        <v>125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>"14:53:36.914"</f>
        <v>14:53:36.914</v>
      </c>
      <c r="T2092" t="str">
        <f>"14:53:36.014"</f>
        <v>14:53:36.014</v>
      </c>
      <c r="U2092" t="str">
        <f t="shared" si="102"/>
        <v>A0F928</v>
      </c>
      <c r="V2092">
        <v>0</v>
      </c>
      <c r="W2092">
        <v>0</v>
      </c>
      <c r="X2092">
        <v>2</v>
      </c>
      <c r="Z2092">
        <v>0</v>
      </c>
      <c r="AA2092">
        <v>9</v>
      </c>
      <c r="AB2092">
        <v>3</v>
      </c>
      <c r="AC2092">
        <v>0</v>
      </c>
      <c r="AD2092">
        <v>10</v>
      </c>
      <c r="AE2092">
        <v>0</v>
      </c>
      <c r="AF2092">
        <v>0</v>
      </c>
      <c r="AG2092">
        <v>2</v>
      </c>
      <c r="AH2092">
        <v>1</v>
      </c>
      <c r="AI2092" t="s">
        <v>1094</v>
      </c>
      <c r="AJ2092">
        <v>35.854526</v>
      </c>
      <c r="AK2092" t="s">
        <v>1095</v>
      </c>
      <c r="AL2092">
        <v>-83.963656</v>
      </c>
      <c r="AM2092">
        <v>25</v>
      </c>
      <c r="AN2092">
        <v>1200</v>
      </c>
      <c r="AO2092" t="s">
        <v>118</v>
      </c>
      <c r="AP2092">
        <v>70</v>
      </c>
      <c r="AQ2092">
        <v>-81</v>
      </c>
      <c r="AR2092">
        <v>-576</v>
      </c>
      <c r="AZ2092">
        <v>300</v>
      </c>
      <c r="BA2092">
        <v>1</v>
      </c>
      <c r="BB2092" t="str">
        <f t="shared" si="101"/>
        <v xml:space="preserve">N162AM  </v>
      </c>
      <c r="BC2092">
        <v>1</v>
      </c>
      <c r="BE2092">
        <v>0</v>
      </c>
      <c r="BF2092">
        <v>0</v>
      </c>
      <c r="BG2092">
        <v>0</v>
      </c>
      <c r="BH2092">
        <v>1450</v>
      </c>
      <c r="BI2092">
        <v>1</v>
      </c>
      <c r="BJ2092">
        <v>1</v>
      </c>
      <c r="BK2092">
        <v>1</v>
      </c>
      <c r="BL2092">
        <v>0</v>
      </c>
      <c r="BO2092">
        <v>0</v>
      </c>
      <c r="BP2092">
        <v>0</v>
      </c>
      <c r="BW2092" t="str">
        <f>"14:53:36.920"</f>
        <v>14:53:36.920</v>
      </c>
      <c r="CJ2092">
        <v>2</v>
      </c>
      <c r="CK2092">
        <v>2</v>
      </c>
      <c r="CL2092">
        <v>0</v>
      </c>
      <c r="CM2092">
        <v>2</v>
      </c>
      <c r="CN2092">
        <v>0</v>
      </c>
      <c r="CO2092">
        <v>5</v>
      </c>
      <c r="CP2092" t="s">
        <v>119</v>
      </c>
      <c r="CQ2092">
        <v>232</v>
      </c>
      <c r="CR2092">
        <v>1</v>
      </c>
      <c r="CW2092">
        <v>15821413</v>
      </c>
      <c r="CY2092">
        <v>1</v>
      </c>
      <c r="CZ2092">
        <v>0</v>
      </c>
      <c r="DA2092">
        <v>1</v>
      </c>
      <c r="DB2092">
        <v>0</v>
      </c>
      <c r="DC2092">
        <v>0</v>
      </c>
      <c r="DD2092">
        <v>1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3">
      <c r="A2093" t="str">
        <f>"12/16/2021 14:53:37.165"</f>
        <v>12/16/2021 14:53:37.165</v>
      </c>
      <c r="C2093" t="str">
        <f t="shared" si="100"/>
        <v>FFDFD3C0</v>
      </c>
      <c r="D2093" t="s">
        <v>113</v>
      </c>
      <c r="E2093">
        <v>8</v>
      </c>
      <c r="H2093">
        <v>176</v>
      </c>
      <c r="I2093" t="s">
        <v>114</v>
      </c>
      <c r="J2093" t="s">
        <v>115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>"14:53:36.914"</f>
        <v>14:53:36.914</v>
      </c>
      <c r="T2093" t="str">
        <f>"14:53:36.014"</f>
        <v>14:53:36.014</v>
      </c>
      <c r="U2093" t="str">
        <f t="shared" si="102"/>
        <v>A0F928</v>
      </c>
      <c r="V2093">
        <v>0</v>
      </c>
      <c r="W2093">
        <v>0</v>
      </c>
      <c r="X2093">
        <v>2</v>
      </c>
      <c r="Z2093">
        <v>0</v>
      </c>
      <c r="AA2093">
        <v>9</v>
      </c>
      <c r="AB2093">
        <v>3</v>
      </c>
      <c r="AC2093">
        <v>0</v>
      </c>
      <c r="AD2093">
        <v>10</v>
      </c>
      <c r="AE2093">
        <v>0</v>
      </c>
      <c r="AF2093">
        <v>3</v>
      </c>
      <c r="AG2093">
        <v>2</v>
      </c>
      <c r="AH2093">
        <v>1</v>
      </c>
      <c r="AI2093" t="s">
        <v>1094</v>
      </c>
      <c r="AJ2093">
        <v>35.854526</v>
      </c>
      <c r="AK2093" t="s">
        <v>1095</v>
      </c>
      <c r="AL2093">
        <v>-83.963656</v>
      </c>
      <c r="AM2093">
        <v>25</v>
      </c>
      <c r="AN2093">
        <v>1200</v>
      </c>
      <c r="AO2093" t="s">
        <v>118</v>
      </c>
      <c r="AP2093">
        <v>70</v>
      </c>
      <c r="AQ2093">
        <v>-81</v>
      </c>
      <c r="AR2093">
        <v>-576</v>
      </c>
      <c r="AZ2093">
        <v>300</v>
      </c>
      <c r="BA2093">
        <v>1</v>
      </c>
      <c r="BB2093" t="str">
        <f t="shared" si="101"/>
        <v xml:space="preserve">N162AM  </v>
      </c>
      <c r="BC2093">
        <v>1</v>
      </c>
      <c r="BE2093">
        <v>0</v>
      </c>
      <c r="BF2093">
        <v>0</v>
      </c>
      <c r="BG2093">
        <v>0</v>
      </c>
      <c r="BH2093">
        <v>1450</v>
      </c>
      <c r="BI2093">
        <v>1</v>
      </c>
      <c r="BJ2093">
        <v>1</v>
      </c>
      <c r="BK2093">
        <v>1</v>
      </c>
      <c r="BL2093">
        <v>0</v>
      </c>
      <c r="BO2093">
        <v>0</v>
      </c>
      <c r="BP2093">
        <v>0</v>
      </c>
      <c r="BW2093" t="str">
        <f>"14:53:36.920"</f>
        <v>14:53:36.920</v>
      </c>
      <c r="CJ2093">
        <v>3</v>
      </c>
      <c r="CK2093">
        <v>2</v>
      </c>
      <c r="CL2093">
        <v>0</v>
      </c>
      <c r="CM2093">
        <v>2</v>
      </c>
      <c r="CN2093">
        <v>0</v>
      </c>
      <c r="CO2093">
        <v>5</v>
      </c>
      <c r="CP2093" t="s">
        <v>119</v>
      </c>
      <c r="CQ2093">
        <v>232</v>
      </c>
      <c r="CR2093">
        <v>1</v>
      </c>
      <c r="CW2093">
        <v>15821413</v>
      </c>
      <c r="CY2093">
        <v>1</v>
      </c>
      <c r="CZ2093">
        <v>0</v>
      </c>
      <c r="DA2093">
        <v>1</v>
      </c>
      <c r="DB2093">
        <v>0</v>
      </c>
      <c r="DC2093">
        <v>0</v>
      </c>
      <c r="DD2093">
        <v>1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3">
      <c r="A2094" t="str">
        <f>"12/16/2021 14:53:38.056"</f>
        <v>12/16/2021 14:53:38.056</v>
      </c>
      <c r="C2094" t="str">
        <f t="shared" ref="C2094:C2157" si="103">"FFDFD3C0"</f>
        <v>FFDFD3C0</v>
      </c>
      <c r="D2094" t="s">
        <v>133</v>
      </c>
      <c r="E2094">
        <v>44</v>
      </c>
      <c r="H2094">
        <v>131</v>
      </c>
      <c r="I2094" t="s">
        <v>134</v>
      </c>
      <c r="J2094" t="s">
        <v>135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>"14:53:37.797"</f>
        <v>14:53:37.797</v>
      </c>
      <c r="T2094" t="str">
        <f>"14:53:37.397"</f>
        <v>14:53:37.397</v>
      </c>
      <c r="U2094" t="str">
        <f t="shared" si="102"/>
        <v>A0F928</v>
      </c>
      <c r="V2094">
        <v>0</v>
      </c>
      <c r="W2094">
        <v>0</v>
      </c>
      <c r="X2094">
        <v>2</v>
      </c>
      <c r="Z2094">
        <v>0</v>
      </c>
      <c r="AA2094">
        <v>9</v>
      </c>
      <c r="AB2094">
        <v>3</v>
      </c>
      <c r="AC2094">
        <v>0</v>
      </c>
      <c r="AD2094">
        <v>10</v>
      </c>
      <c r="AE2094">
        <v>0</v>
      </c>
      <c r="AF2094">
        <v>3</v>
      </c>
      <c r="AG2094">
        <v>2</v>
      </c>
      <c r="AH2094">
        <v>1</v>
      </c>
      <c r="AI2094" t="s">
        <v>1027</v>
      </c>
      <c r="AJ2094">
        <v>35.854204000000003</v>
      </c>
      <c r="AK2094" t="s">
        <v>1096</v>
      </c>
      <c r="AL2094">
        <v>-83.963291999999996</v>
      </c>
      <c r="AM2094">
        <v>25</v>
      </c>
      <c r="AN2094">
        <v>1200</v>
      </c>
      <c r="AO2094" t="s">
        <v>118</v>
      </c>
      <c r="AP2094">
        <v>69</v>
      </c>
      <c r="AQ2094">
        <v>-82</v>
      </c>
      <c r="AR2094">
        <v>-640</v>
      </c>
      <c r="AZ2094">
        <v>300</v>
      </c>
      <c r="BA2094">
        <v>1</v>
      </c>
      <c r="BB2094" t="str">
        <f t="shared" ref="BB2094:BB2157" si="104">"N162AM  "</f>
        <v xml:space="preserve">N162AM  </v>
      </c>
      <c r="BC2094">
        <v>1</v>
      </c>
      <c r="BE2094">
        <v>0</v>
      </c>
      <c r="BF2094">
        <v>0</v>
      </c>
      <c r="BG2094">
        <v>0</v>
      </c>
      <c r="BH2094">
        <v>1450</v>
      </c>
      <c r="BI2094">
        <v>1</v>
      </c>
      <c r="BJ2094">
        <v>1</v>
      </c>
      <c r="BK2094">
        <v>1</v>
      </c>
      <c r="BL2094">
        <v>0</v>
      </c>
      <c r="BO2094">
        <v>0</v>
      </c>
      <c r="BP2094">
        <v>0</v>
      </c>
      <c r="BW2094" t="str">
        <f>"14:53:37.800"</f>
        <v>14:53:37.800</v>
      </c>
      <c r="CJ2094">
        <v>3</v>
      </c>
      <c r="CK2094">
        <v>2</v>
      </c>
      <c r="CL2094">
        <v>0</v>
      </c>
      <c r="CM2094">
        <v>2</v>
      </c>
      <c r="CN2094">
        <v>0</v>
      </c>
      <c r="CO2094">
        <v>5</v>
      </c>
      <c r="CP2094" t="s">
        <v>119</v>
      </c>
      <c r="CQ2094">
        <v>232</v>
      </c>
      <c r="CR2094">
        <v>2</v>
      </c>
      <c r="CW2094">
        <v>7040745</v>
      </c>
      <c r="CY2094">
        <v>1</v>
      </c>
      <c r="CZ2094">
        <v>0</v>
      </c>
      <c r="DA2094">
        <v>0</v>
      </c>
      <c r="DB2094">
        <v>0</v>
      </c>
      <c r="DC2094">
        <v>0</v>
      </c>
      <c r="DD2094">
        <v>1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3">
      <c r="A2095" t="str">
        <f>"12/16/2021 14:53:38.056"</f>
        <v>12/16/2021 14:53:38.056</v>
      </c>
      <c r="C2095" t="str">
        <f t="shared" si="103"/>
        <v>FFDFD3C0</v>
      </c>
      <c r="D2095" t="s">
        <v>124</v>
      </c>
      <c r="E2095">
        <v>5</v>
      </c>
      <c r="F2095">
        <v>1005</v>
      </c>
      <c r="G2095" t="s">
        <v>114</v>
      </c>
      <c r="J2095" t="s">
        <v>125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>"14:53:37.797"</f>
        <v>14:53:37.797</v>
      </c>
      <c r="T2095" t="str">
        <f>"14:53:37.397"</f>
        <v>14:53:37.397</v>
      </c>
      <c r="U2095" t="str">
        <f t="shared" si="102"/>
        <v>A0F928</v>
      </c>
      <c r="V2095">
        <v>0</v>
      </c>
      <c r="W2095">
        <v>0</v>
      </c>
      <c r="X2095">
        <v>2</v>
      </c>
      <c r="Z2095">
        <v>0</v>
      </c>
      <c r="AA2095">
        <v>9</v>
      </c>
      <c r="AB2095">
        <v>3</v>
      </c>
      <c r="AC2095">
        <v>0</v>
      </c>
      <c r="AD2095">
        <v>10</v>
      </c>
      <c r="AE2095">
        <v>0</v>
      </c>
      <c r="AF2095">
        <v>3</v>
      </c>
      <c r="AG2095">
        <v>2</v>
      </c>
      <c r="AH2095">
        <v>1</v>
      </c>
      <c r="AI2095" t="s">
        <v>1027</v>
      </c>
      <c r="AJ2095">
        <v>35.854204000000003</v>
      </c>
      <c r="AK2095" t="s">
        <v>1096</v>
      </c>
      <c r="AL2095">
        <v>-83.963291999999996</v>
      </c>
      <c r="AM2095">
        <v>25</v>
      </c>
      <c r="AN2095">
        <v>1200</v>
      </c>
      <c r="AO2095" t="s">
        <v>118</v>
      </c>
      <c r="AP2095">
        <v>69</v>
      </c>
      <c r="AQ2095">
        <v>-82</v>
      </c>
      <c r="AR2095">
        <v>-640</v>
      </c>
      <c r="AZ2095">
        <v>300</v>
      </c>
      <c r="BA2095">
        <v>1</v>
      </c>
      <c r="BB2095" t="str">
        <f t="shared" si="104"/>
        <v xml:space="preserve">N162AM  </v>
      </c>
      <c r="BC2095">
        <v>1</v>
      </c>
      <c r="BE2095">
        <v>0</v>
      </c>
      <c r="BF2095">
        <v>0</v>
      </c>
      <c r="BG2095">
        <v>0</v>
      </c>
      <c r="BH2095">
        <v>1450</v>
      </c>
      <c r="BI2095">
        <v>1</v>
      </c>
      <c r="BJ2095">
        <v>1</v>
      </c>
      <c r="BK2095">
        <v>1</v>
      </c>
      <c r="BL2095">
        <v>0</v>
      </c>
      <c r="BO2095">
        <v>0</v>
      </c>
      <c r="BP2095">
        <v>0</v>
      </c>
      <c r="BW2095" t="str">
        <f>"14:53:37.800"</f>
        <v>14:53:37.800</v>
      </c>
      <c r="CJ2095">
        <v>3</v>
      </c>
      <c r="CK2095">
        <v>2</v>
      </c>
      <c r="CL2095">
        <v>0</v>
      </c>
      <c r="CM2095">
        <v>2</v>
      </c>
      <c r="CN2095">
        <v>0</v>
      </c>
      <c r="CO2095">
        <v>5</v>
      </c>
      <c r="CP2095" t="s">
        <v>119</v>
      </c>
      <c r="CQ2095">
        <v>232</v>
      </c>
      <c r="CR2095">
        <v>2</v>
      </c>
      <c r="CW2095">
        <v>7040745</v>
      </c>
      <c r="CY2095">
        <v>1</v>
      </c>
      <c r="CZ2095">
        <v>0</v>
      </c>
      <c r="DA2095">
        <v>1</v>
      </c>
      <c r="DB2095">
        <v>0</v>
      </c>
      <c r="DC2095">
        <v>0</v>
      </c>
      <c r="DD2095">
        <v>1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3">
      <c r="A2096" t="str">
        <f>"12/16/2021 14:53:38.056"</f>
        <v>12/16/2021 14:53:38.056</v>
      </c>
      <c r="C2096" t="str">
        <f t="shared" si="103"/>
        <v>FFDFD3C0</v>
      </c>
      <c r="D2096" t="s">
        <v>124</v>
      </c>
      <c r="E2096">
        <v>10</v>
      </c>
      <c r="F2096">
        <v>1010</v>
      </c>
      <c r="G2096" t="s">
        <v>130</v>
      </c>
      <c r="J2096" t="s">
        <v>125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>"14:53:37.797"</f>
        <v>14:53:37.797</v>
      </c>
      <c r="T2096" t="str">
        <f>"14:53:37.397"</f>
        <v>14:53:37.397</v>
      </c>
      <c r="U2096" t="str">
        <f t="shared" si="102"/>
        <v>A0F928</v>
      </c>
      <c r="V2096">
        <v>0</v>
      </c>
      <c r="W2096">
        <v>0</v>
      </c>
      <c r="X2096">
        <v>2</v>
      </c>
      <c r="Z2096">
        <v>0</v>
      </c>
      <c r="AA2096">
        <v>9</v>
      </c>
      <c r="AB2096">
        <v>3</v>
      </c>
      <c r="AC2096">
        <v>0</v>
      </c>
      <c r="AD2096">
        <v>10</v>
      </c>
      <c r="AE2096">
        <v>0</v>
      </c>
      <c r="AF2096">
        <v>0</v>
      </c>
      <c r="AG2096">
        <v>2</v>
      </c>
      <c r="AH2096">
        <v>1</v>
      </c>
      <c r="AI2096" t="s">
        <v>1027</v>
      </c>
      <c r="AJ2096">
        <v>35.854204000000003</v>
      </c>
      <c r="AK2096" t="s">
        <v>1096</v>
      </c>
      <c r="AL2096">
        <v>-83.963291999999996</v>
      </c>
      <c r="AM2096">
        <v>25</v>
      </c>
      <c r="AN2096">
        <v>1200</v>
      </c>
      <c r="AO2096" t="s">
        <v>118</v>
      </c>
      <c r="AP2096">
        <v>69</v>
      </c>
      <c r="AQ2096">
        <v>-82</v>
      </c>
      <c r="AR2096">
        <v>-640</v>
      </c>
      <c r="AZ2096">
        <v>300</v>
      </c>
      <c r="BA2096">
        <v>1</v>
      </c>
      <c r="BB2096" t="str">
        <f t="shared" si="104"/>
        <v xml:space="preserve">N162AM  </v>
      </c>
      <c r="BC2096">
        <v>1</v>
      </c>
      <c r="BE2096">
        <v>0</v>
      </c>
      <c r="BF2096">
        <v>0</v>
      </c>
      <c r="BG2096">
        <v>0</v>
      </c>
      <c r="BH2096">
        <v>1450</v>
      </c>
      <c r="BI2096">
        <v>1</v>
      </c>
      <c r="BJ2096">
        <v>1</v>
      </c>
      <c r="BK2096">
        <v>1</v>
      </c>
      <c r="BL2096">
        <v>0</v>
      </c>
      <c r="BO2096">
        <v>0</v>
      </c>
      <c r="BP2096">
        <v>0</v>
      </c>
      <c r="BW2096" t="str">
        <f>"14:53:37.800"</f>
        <v>14:53:37.800</v>
      </c>
      <c r="CJ2096">
        <v>2</v>
      </c>
      <c r="CK2096">
        <v>2</v>
      </c>
      <c r="CL2096">
        <v>0</v>
      </c>
      <c r="CM2096">
        <v>2</v>
      </c>
      <c r="CN2096">
        <v>0</v>
      </c>
      <c r="CO2096">
        <v>5</v>
      </c>
      <c r="CP2096" t="s">
        <v>119</v>
      </c>
      <c r="CQ2096">
        <v>232</v>
      </c>
      <c r="CR2096">
        <v>2</v>
      </c>
      <c r="CW2096">
        <v>7040745</v>
      </c>
      <c r="CY2096">
        <v>1</v>
      </c>
      <c r="CZ2096">
        <v>0</v>
      </c>
      <c r="DA2096">
        <v>1</v>
      </c>
      <c r="DB2096">
        <v>0</v>
      </c>
      <c r="DC2096">
        <v>0</v>
      </c>
      <c r="DD2096">
        <v>1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3">
      <c r="A2097" t="str">
        <f>"12/16/2021 14:53:38.056"</f>
        <v>12/16/2021 14:53:38.056</v>
      </c>
      <c r="C2097" t="str">
        <f t="shared" si="103"/>
        <v>FFDFD3C0</v>
      </c>
      <c r="D2097" t="s">
        <v>113</v>
      </c>
      <c r="E2097">
        <v>8</v>
      </c>
      <c r="H2097">
        <v>176</v>
      </c>
      <c r="I2097" t="s">
        <v>114</v>
      </c>
      <c r="J2097" t="s">
        <v>115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>"14:53:37.797"</f>
        <v>14:53:37.797</v>
      </c>
      <c r="T2097" t="str">
        <f>"14:53:37.397"</f>
        <v>14:53:37.397</v>
      </c>
      <c r="U2097" t="str">
        <f t="shared" si="102"/>
        <v>A0F928</v>
      </c>
      <c r="V2097">
        <v>0</v>
      </c>
      <c r="W2097">
        <v>0</v>
      </c>
      <c r="X2097">
        <v>2</v>
      </c>
      <c r="Z2097">
        <v>0</v>
      </c>
      <c r="AA2097">
        <v>9</v>
      </c>
      <c r="AB2097">
        <v>3</v>
      </c>
      <c r="AC2097">
        <v>0</v>
      </c>
      <c r="AD2097">
        <v>10</v>
      </c>
      <c r="AE2097">
        <v>0</v>
      </c>
      <c r="AF2097">
        <v>3</v>
      </c>
      <c r="AG2097">
        <v>2</v>
      </c>
      <c r="AH2097">
        <v>1</v>
      </c>
      <c r="AI2097" t="s">
        <v>1027</v>
      </c>
      <c r="AJ2097">
        <v>35.854204000000003</v>
      </c>
      <c r="AK2097" t="s">
        <v>1096</v>
      </c>
      <c r="AL2097">
        <v>-83.963291999999996</v>
      </c>
      <c r="AM2097">
        <v>25</v>
      </c>
      <c r="AN2097">
        <v>1200</v>
      </c>
      <c r="AO2097" t="s">
        <v>118</v>
      </c>
      <c r="AP2097">
        <v>69</v>
      </c>
      <c r="AQ2097">
        <v>-82</v>
      </c>
      <c r="AR2097">
        <v>-640</v>
      </c>
      <c r="AZ2097">
        <v>300</v>
      </c>
      <c r="BA2097">
        <v>1</v>
      </c>
      <c r="BB2097" t="str">
        <f t="shared" si="104"/>
        <v xml:space="preserve">N162AM  </v>
      </c>
      <c r="BC2097">
        <v>1</v>
      </c>
      <c r="BE2097">
        <v>0</v>
      </c>
      <c r="BF2097">
        <v>0</v>
      </c>
      <c r="BG2097">
        <v>0</v>
      </c>
      <c r="BH2097">
        <v>1450</v>
      </c>
      <c r="BI2097">
        <v>1</v>
      </c>
      <c r="BJ2097">
        <v>1</v>
      </c>
      <c r="BK2097">
        <v>1</v>
      </c>
      <c r="BL2097">
        <v>0</v>
      </c>
      <c r="BO2097">
        <v>0</v>
      </c>
      <c r="BP2097">
        <v>0</v>
      </c>
      <c r="BW2097" t="str">
        <f>"14:53:37.800"</f>
        <v>14:53:37.800</v>
      </c>
      <c r="CJ2097">
        <v>3</v>
      </c>
      <c r="CK2097">
        <v>2</v>
      </c>
      <c r="CL2097">
        <v>0</v>
      </c>
      <c r="CM2097">
        <v>2</v>
      </c>
      <c r="CN2097">
        <v>0</v>
      </c>
      <c r="CO2097">
        <v>5</v>
      </c>
      <c r="CP2097" t="s">
        <v>119</v>
      </c>
      <c r="CQ2097">
        <v>232</v>
      </c>
      <c r="CR2097">
        <v>2</v>
      </c>
      <c r="CW2097">
        <v>7040745</v>
      </c>
      <c r="CY2097">
        <v>1</v>
      </c>
      <c r="CZ2097">
        <v>0</v>
      </c>
      <c r="DA2097">
        <v>1</v>
      </c>
      <c r="DB2097">
        <v>0</v>
      </c>
      <c r="DC2097">
        <v>0</v>
      </c>
      <c r="DD2097">
        <v>1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3">
      <c r="A2098" t="str">
        <f>"12/16/2021 14:53:39.087"</f>
        <v>12/16/2021 14:53:39.087</v>
      </c>
      <c r="C2098" t="str">
        <f t="shared" si="103"/>
        <v>FFDFD3C0</v>
      </c>
      <c r="D2098" t="s">
        <v>133</v>
      </c>
      <c r="E2098">
        <v>44</v>
      </c>
      <c r="H2098">
        <v>131</v>
      </c>
      <c r="I2098" t="s">
        <v>134</v>
      </c>
      <c r="J2098" t="s">
        <v>135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>"14:53:38.844"</f>
        <v>14:53:38.844</v>
      </c>
      <c r="T2098" t="str">
        <f>"14:53:38.444"</f>
        <v>14:53:38.444</v>
      </c>
      <c r="U2098" t="str">
        <f t="shared" si="102"/>
        <v>A0F928</v>
      </c>
      <c r="V2098">
        <v>0</v>
      </c>
      <c r="W2098">
        <v>0</v>
      </c>
      <c r="X2098">
        <v>2</v>
      </c>
      <c r="Z2098">
        <v>0</v>
      </c>
      <c r="AA2098">
        <v>9</v>
      </c>
      <c r="AB2098">
        <v>3</v>
      </c>
      <c r="AC2098">
        <v>0</v>
      </c>
      <c r="AD2098">
        <v>10</v>
      </c>
      <c r="AE2098">
        <v>0</v>
      </c>
      <c r="AF2098">
        <v>3</v>
      </c>
      <c r="AG2098">
        <v>2</v>
      </c>
      <c r="AH2098">
        <v>1</v>
      </c>
      <c r="AI2098" t="s">
        <v>1097</v>
      </c>
      <c r="AJ2098">
        <v>35.853839000000001</v>
      </c>
      <c r="AK2098" t="s">
        <v>1098</v>
      </c>
      <c r="AL2098">
        <v>-83.962905000000006</v>
      </c>
      <c r="AM2098">
        <v>25</v>
      </c>
      <c r="AN2098">
        <v>1175</v>
      </c>
      <c r="AO2098" t="s">
        <v>118</v>
      </c>
      <c r="AP2098">
        <v>69</v>
      </c>
      <c r="AQ2098">
        <v>-83</v>
      </c>
      <c r="AR2098">
        <v>-576</v>
      </c>
      <c r="AZ2098">
        <v>300</v>
      </c>
      <c r="BA2098">
        <v>1</v>
      </c>
      <c r="BB2098" t="str">
        <f t="shared" si="104"/>
        <v xml:space="preserve">N162AM  </v>
      </c>
      <c r="BC2098">
        <v>1</v>
      </c>
      <c r="BE2098">
        <v>0</v>
      </c>
      <c r="BF2098">
        <v>0</v>
      </c>
      <c r="BG2098">
        <v>0</v>
      </c>
      <c r="BH2098">
        <v>1425</v>
      </c>
      <c r="BI2098">
        <v>1</v>
      </c>
      <c r="BJ2098">
        <v>1</v>
      </c>
      <c r="BK2098">
        <v>1</v>
      </c>
      <c r="BL2098">
        <v>0</v>
      </c>
      <c r="BO2098">
        <v>0</v>
      </c>
      <c r="BP2098">
        <v>0</v>
      </c>
      <c r="BW2098" t="str">
        <f>"14:53:38.850"</f>
        <v>14:53:38.850</v>
      </c>
      <c r="CJ2098">
        <v>3</v>
      </c>
      <c r="CK2098">
        <v>2</v>
      </c>
      <c r="CL2098">
        <v>0</v>
      </c>
      <c r="CM2098">
        <v>2</v>
      </c>
      <c r="CN2098">
        <v>0</v>
      </c>
      <c r="CO2098">
        <v>4</v>
      </c>
      <c r="CP2098" t="s">
        <v>119</v>
      </c>
      <c r="CQ2098">
        <v>232</v>
      </c>
      <c r="CR2098">
        <v>1</v>
      </c>
      <c r="CW2098">
        <v>15824229</v>
      </c>
      <c r="CY2098">
        <v>1</v>
      </c>
      <c r="CZ2098">
        <v>0</v>
      </c>
      <c r="DA2098">
        <v>0</v>
      </c>
      <c r="DB2098">
        <v>0</v>
      </c>
      <c r="DC2098">
        <v>0</v>
      </c>
      <c r="DD2098">
        <v>1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3">
      <c r="A2099" t="str">
        <f>"12/16/2021 14:53:39.087"</f>
        <v>12/16/2021 14:53:39.087</v>
      </c>
      <c r="C2099" t="str">
        <f t="shared" si="103"/>
        <v>FFDFD3C0</v>
      </c>
      <c r="D2099" t="s">
        <v>124</v>
      </c>
      <c r="E2099">
        <v>10</v>
      </c>
      <c r="F2099">
        <v>1010</v>
      </c>
      <c r="G2099" t="s">
        <v>130</v>
      </c>
      <c r="J2099" t="s">
        <v>125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>"14:53:38.844"</f>
        <v>14:53:38.844</v>
      </c>
      <c r="T2099" t="str">
        <f>"14:53:38.444"</f>
        <v>14:53:38.444</v>
      </c>
      <c r="U2099" t="str">
        <f t="shared" si="102"/>
        <v>A0F928</v>
      </c>
      <c r="V2099">
        <v>0</v>
      </c>
      <c r="W2099">
        <v>0</v>
      </c>
      <c r="X2099">
        <v>2</v>
      </c>
      <c r="Z2099">
        <v>0</v>
      </c>
      <c r="AA2099">
        <v>9</v>
      </c>
      <c r="AB2099">
        <v>3</v>
      </c>
      <c r="AC2099">
        <v>0</v>
      </c>
      <c r="AD2099">
        <v>10</v>
      </c>
      <c r="AE2099">
        <v>0</v>
      </c>
      <c r="AF2099">
        <v>0</v>
      </c>
      <c r="AG2099">
        <v>2</v>
      </c>
      <c r="AH2099">
        <v>1</v>
      </c>
      <c r="AI2099" t="s">
        <v>1097</v>
      </c>
      <c r="AJ2099">
        <v>35.853839000000001</v>
      </c>
      <c r="AK2099" t="s">
        <v>1098</v>
      </c>
      <c r="AL2099">
        <v>-83.962905000000006</v>
      </c>
      <c r="AM2099">
        <v>25</v>
      </c>
      <c r="AN2099">
        <v>1175</v>
      </c>
      <c r="AO2099" t="s">
        <v>118</v>
      </c>
      <c r="AP2099">
        <v>69</v>
      </c>
      <c r="AQ2099">
        <v>-83</v>
      </c>
      <c r="AR2099">
        <v>-576</v>
      </c>
      <c r="AZ2099">
        <v>300</v>
      </c>
      <c r="BA2099">
        <v>1</v>
      </c>
      <c r="BB2099" t="str">
        <f t="shared" si="104"/>
        <v xml:space="preserve">N162AM  </v>
      </c>
      <c r="BC2099">
        <v>1</v>
      </c>
      <c r="BE2099">
        <v>0</v>
      </c>
      <c r="BF2099">
        <v>0</v>
      </c>
      <c r="BG2099">
        <v>0</v>
      </c>
      <c r="BH2099">
        <v>1425</v>
      </c>
      <c r="BI2099">
        <v>1</v>
      </c>
      <c r="BJ2099">
        <v>1</v>
      </c>
      <c r="BK2099">
        <v>1</v>
      </c>
      <c r="BL2099">
        <v>0</v>
      </c>
      <c r="BO2099">
        <v>0</v>
      </c>
      <c r="BP2099">
        <v>0</v>
      </c>
      <c r="BW2099" t="str">
        <f>"14:53:38.850"</f>
        <v>14:53:38.850</v>
      </c>
      <c r="CJ2099">
        <v>2</v>
      </c>
      <c r="CK2099">
        <v>2</v>
      </c>
      <c r="CL2099">
        <v>0</v>
      </c>
      <c r="CM2099">
        <v>2</v>
      </c>
      <c r="CN2099">
        <v>0</v>
      </c>
      <c r="CO2099">
        <v>4</v>
      </c>
      <c r="CP2099" t="s">
        <v>119</v>
      </c>
      <c r="CQ2099">
        <v>232</v>
      </c>
      <c r="CR2099">
        <v>1</v>
      </c>
      <c r="CW2099">
        <v>15824229</v>
      </c>
      <c r="CY2099">
        <v>1</v>
      </c>
      <c r="CZ2099">
        <v>0</v>
      </c>
      <c r="DA2099">
        <v>1</v>
      </c>
      <c r="DB2099">
        <v>0</v>
      </c>
      <c r="DC2099">
        <v>0</v>
      </c>
      <c r="DD2099">
        <v>1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3">
      <c r="A2100" t="str">
        <f>"12/16/2021 14:53:39.103"</f>
        <v>12/16/2021 14:53:39.103</v>
      </c>
      <c r="C2100" t="str">
        <f t="shared" si="103"/>
        <v>FFDFD3C0</v>
      </c>
      <c r="D2100" t="s">
        <v>124</v>
      </c>
      <c r="E2100">
        <v>5</v>
      </c>
      <c r="F2100">
        <v>1005</v>
      </c>
      <c r="G2100" t="s">
        <v>114</v>
      </c>
      <c r="J2100" t="s">
        <v>125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>"14:53:38.844"</f>
        <v>14:53:38.844</v>
      </c>
      <c r="T2100" t="str">
        <f>"14:53:38.444"</f>
        <v>14:53:38.444</v>
      </c>
      <c r="U2100" t="str">
        <f t="shared" si="102"/>
        <v>A0F928</v>
      </c>
      <c r="V2100">
        <v>0</v>
      </c>
      <c r="W2100">
        <v>0</v>
      </c>
      <c r="X2100">
        <v>2</v>
      </c>
      <c r="Z2100">
        <v>0</v>
      </c>
      <c r="AA2100">
        <v>9</v>
      </c>
      <c r="AB2100">
        <v>3</v>
      </c>
      <c r="AC2100">
        <v>0</v>
      </c>
      <c r="AD2100">
        <v>10</v>
      </c>
      <c r="AE2100">
        <v>0</v>
      </c>
      <c r="AF2100">
        <v>3</v>
      </c>
      <c r="AG2100">
        <v>2</v>
      </c>
      <c r="AH2100">
        <v>1</v>
      </c>
      <c r="AI2100" t="s">
        <v>1097</v>
      </c>
      <c r="AJ2100">
        <v>35.853839000000001</v>
      </c>
      <c r="AK2100" t="s">
        <v>1098</v>
      </c>
      <c r="AL2100">
        <v>-83.962905000000006</v>
      </c>
      <c r="AM2100">
        <v>25</v>
      </c>
      <c r="AN2100">
        <v>1175</v>
      </c>
      <c r="AO2100" t="s">
        <v>118</v>
      </c>
      <c r="AP2100">
        <v>69</v>
      </c>
      <c r="AQ2100">
        <v>-83</v>
      </c>
      <c r="AR2100">
        <v>-576</v>
      </c>
      <c r="AZ2100">
        <v>300</v>
      </c>
      <c r="BA2100">
        <v>1</v>
      </c>
      <c r="BB2100" t="str">
        <f t="shared" si="104"/>
        <v xml:space="preserve">N162AM  </v>
      </c>
      <c r="BC2100">
        <v>1</v>
      </c>
      <c r="BE2100">
        <v>0</v>
      </c>
      <c r="BF2100">
        <v>0</v>
      </c>
      <c r="BG2100">
        <v>0</v>
      </c>
      <c r="BH2100">
        <v>1425</v>
      </c>
      <c r="BI2100">
        <v>1</v>
      </c>
      <c r="BJ2100">
        <v>1</v>
      </c>
      <c r="BK2100">
        <v>1</v>
      </c>
      <c r="BL2100">
        <v>0</v>
      </c>
      <c r="BO2100">
        <v>0</v>
      </c>
      <c r="BP2100">
        <v>0</v>
      </c>
      <c r="BW2100" t="str">
        <f>"14:53:38.850"</f>
        <v>14:53:38.850</v>
      </c>
      <c r="CJ2100">
        <v>3</v>
      </c>
      <c r="CK2100">
        <v>2</v>
      </c>
      <c r="CL2100">
        <v>0</v>
      </c>
      <c r="CM2100">
        <v>2</v>
      </c>
      <c r="CN2100">
        <v>0</v>
      </c>
      <c r="CO2100">
        <v>4</v>
      </c>
      <c r="CP2100" t="s">
        <v>119</v>
      </c>
      <c r="CQ2100">
        <v>232</v>
      </c>
      <c r="CR2100">
        <v>1</v>
      </c>
      <c r="CW2100">
        <v>15824229</v>
      </c>
      <c r="CY2100">
        <v>1</v>
      </c>
      <c r="CZ2100">
        <v>0</v>
      </c>
      <c r="DA2100">
        <v>1</v>
      </c>
      <c r="DB2100">
        <v>0</v>
      </c>
      <c r="DC2100">
        <v>0</v>
      </c>
      <c r="DD2100">
        <v>1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3">
      <c r="A2101" t="str">
        <f>"12/16/2021 14:53:39.118"</f>
        <v>12/16/2021 14:53:39.118</v>
      </c>
      <c r="C2101" t="str">
        <f t="shared" si="103"/>
        <v>FFDFD3C0</v>
      </c>
      <c r="D2101" t="s">
        <v>113</v>
      </c>
      <c r="E2101">
        <v>8</v>
      </c>
      <c r="H2101">
        <v>176</v>
      </c>
      <c r="I2101" t="s">
        <v>114</v>
      </c>
      <c r="J2101" t="s">
        <v>115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>"14:53:38.844"</f>
        <v>14:53:38.844</v>
      </c>
      <c r="T2101" t="str">
        <f>"14:53:38.444"</f>
        <v>14:53:38.444</v>
      </c>
      <c r="U2101" t="str">
        <f t="shared" si="102"/>
        <v>A0F928</v>
      </c>
      <c r="V2101">
        <v>0</v>
      </c>
      <c r="W2101">
        <v>0</v>
      </c>
      <c r="X2101">
        <v>2</v>
      </c>
      <c r="Z2101">
        <v>0</v>
      </c>
      <c r="AA2101">
        <v>9</v>
      </c>
      <c r="AB2101">
        <v>3</v>
      </c>
      <c r="AC2101">
        <v>0</v>
      </c>
      <c r="AD2101">
        <v>10</v>
      </c>
      <c r="AE2101">
        <v>0</v>
      </c>
      <c r="AF2101">
        <v>3</v>
      </c>
      <c r="AG2101">
        <v>2</v>
      </c>
      <c r="AH2101">
        <v>1</v>
      </c>
      <c r="AI2101" t="s">
        <v>1097</v>
      </c>
      <c r="AJ2101">
        <v>35.853839000000001</v>
      </c>
      <c r="AK2101" t="s">
        <v>1098</v>
      </c>
      <c r="AL2101">
        <v>-83.962905000000006</v>
      </c>
      <c r="AM2101">
        <v>25</v>
      </c>
      <c r="AN2101">
        <v>1175</v>
      </c>
      <c r="AO2101" t="s">
        <v>118</v>
      </c>
      <c r="AP2101">
        <v>69</v>
      </c>
      <c r="AQ2101">
        <v>-83</v>
      </c>
      <c r="AR2101">
        <v>-576</v>
      </c>
      <c r="AZ2101">
        <v>300</v>
      </c>
      <c r="BA2101">
        <v>1</v>
      </c>
      <c r="BB2101" t="str">
        <f t="shared" si="104"/>
        <v xml:space="preserve">N162AM  </v>
      </c>
      <c r="BC2101">
        <v>1</v>
      </c>
      <c r="BE2101">
        <v>0</v>
      </c>
      <c r="BF2101">
        <v>0</v>
      </c>
      <c r="BG2101">
        <v>0</v>
      </c>
      <c r="BH2101">
        <v>1425</v>
      </c>
      <c r="BI2101">
        <v>1</v>
      </c>
      <c r="BJ2101">
        <v>1</v>
      </c>
      <c r="BK2101">
        <v>1</v>
      </c>
      <c r="BL2101">
        <v>0</v>
      </c>
      <c r="BO2101">
        <v>0</v>
      </c>
      <c r="BP2101">
        <v>0</v>
      </c>
      <c r="BW2101" t="str">
        <f>"14:53:38.850"</f>
        <v>14:53:38.850</v>
      </c>
      <c r="CJ2101">
        <v>3</v>
      </c>
      <c r="CK2101">
        <v>2</v>
      </c>
      <c r="CL2101">
        <v>0</v>
      </c>
      <c r="CM2101">
        <v>2</v>
      </c>
      <c r="CN2101">
        <v>0</v>
      </c>
      <c r="CO2101">
        <v>4</v>
      </c>
      <c r="CP2101" t="s">
        <v>119</v>
      </c>
      <c r="CQ2101">
        <v>232</v>
      </c>
      <c r="CR2101">
        <v>1</v>
      </c>
      <c r="CW2101">
        <v>15824229</v>
      </c>
      <c r="CY2101">
        <v>1</v>
      </c>
      <c r="CZ2101">
        <v>0</v>
      </c>
      <c r="DA2101">
        <v>1</v>
      </c>
      <c r="DB2101">
        <v>0</v>
      </c>
      <c r="DC2101">
        <v>0</v>
      </c>
      <c r="DD2101">
        <v>1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3">
      <c r="A2102" t="str">
        <f>"12/16/2021 14:53:40.166"</f>
        <v>12/16/2021 14:53:40.166</v>
      </c>
      <c r="C2102" t="str">
        <f t="shared" si="103"/>
        <v>FFDFD3C0</v>
      </c>
      <c r="D2102" t="s">
        <v>133</v>
      </c>
      <c r="E2102">
        <v>44</v>
      </c>
      <c r="H2102">
        <v>131</v>
      </c>
      <c r="I2102" t="s">
        <v>134</v>
      </c>
      <c r="J2102" t="s">
        <v>135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>"14:53:39.922"</f>
        <v>14:53:39.922</v>
      </c>
      <c r="T2102" t="str">
        <f>"14:53:39.422"</f>
        <v>14:53:39.422</v>
      </c>
      <c r="U2102" t="str">
        <f t="shared" si="102"/>
        <v>A0F928</v>
      </c>
      <c r="V2102">
        <v>0</v>
      </c>
      <c r="W2102">
        <v>0</v>
      </c>
      <c r="X2102">
        <v>2</v>
      </c>
      <c r="Z2102">
        <v>0</v>
      </c>
      <c r="AA2102">
        <v>9</v>
      </c>
      <c r="AB2102">
        <v>3</v>
      </c>
      <c r="AC2102">
        <v>0</v>
      </c>
      <c r="AD2102">
        <v>10</v>
      </c>
      <c r="AE2102">
        <v>0</v>
      </c>
      <c r="AF2102">
        <v>3</v>
      </c>
      <c r="AG2102">
        <v>2</v>
      </c>
      <c r="AH2102">
        <v>1</v>
      </c>
      <c r="AI2102" t="s">
        <v>1099</v>
      </c>
      <c r="AJ2102">
        <v>35.853409999999997</v>
      </c>
      <c r="AK2102" t="s">
        <v>1100</v>
      </c>
      <c r="AL2102">
        <v>-83.962475999999995</v>
      </c>
      <c r="AM2102">
        <v>25</v>
      </c>
      <c r="AN2102">
        <v>1175</v>
      </c>
      <c r="AO2102" t="s">
        <v>118</v>
      </c>
      <c r="AP2102">
        <v>68</v>
      </c>
      <c r="AQ2102">
        <v>-83</v>
      </c>
      <c r="AR2102">
        <v>-512</v>
      </c>
      <c r="AZ2102">
        <v>300</v>
      </c>
      <c r="BA2102">
        <v>1</v>
      </c>
      <c r="BB2102" t="str">
        <f t="shared" si="104"/>
        <v xml:space="preserve">N162AM  </v>
      </c>
      <c r="BC2102">
        <v>1</v>
      </c>
      <c r="BE2102">
        <v>0</v>
      </c>
      <c r="BF2102">
        <v>0</v>
      </c>
      <c r="BG2102">
        <v>0</v>
      </c>
      <c r="BH2102">
        <v>1425</v>
      </c>
      <c r="BI2102">
        <v>1</v>
      </c>
      <c r="BJ2102">
        <v>1</v>
      </c>
      <c r="BK2102">
        <v>1</v>
      </c>
      <c r="BL2102">
        <v>0</v>
      </c>
      <c r="BO2102">
        <v>0</v>
      </c>
      <c r="BP2102">
        <v>0</v>
      </c>
      <c r="BW2102" t="str">
        <f>"14:53:39.927"</f>
        <v>14:53:39.927</v>
      </c>
      <c r="CJ2102">
        <v>3</v>
      </c>
      <c r="CK2102">
        <v>2</v>
      </c>
      <c r="CL2102">
        <v>0</v>
      </c>
      <c r="CM2102">
        <v>2</v>
      </c>
      <c r="CN2102">
        <v>0</v>
      </c>
      <c r="CO2102">
        <v>4</v>
      </c>
      <c r="CP2102" t="s">
        <v>119</v>
      </c>
      <c r="CQ2102">
        <v>232</v>
      </c>
      <c r="CR2102">
        <v>2</v>
      </c>
      <c r="CW2102">
        <v>7043906</v>
      </c>
      <c r="CY2102">
        <v>1</v>
      </c>
      <c r="CZ2102">
        <v>0</v>
      </c>
      <c r="DA2102">
        <v>0</v>
      </c>
      <c r="DB2102">
        <v>0</v>
      </c>
      <c r="DC2102">
        <v>0</v>
      </c>
      <c r="DD2102">
        <v>1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3">
      <c r="A2103" t="str">
        <f>"12/16/2021 14:53:40.166"</f>
        <v>12/16/2021 14:53:40.166</v>
      </c>
      <c r="C2103" t="str">
        <f t="shared" si="103"/>
        <v>FFDFD3C0</v>
      </c>
      <c r="D2103" t="s">
        <v>124</v>
      </c>
      <c r="E2103">
        <v>10</v>
      </c>
      <c r="F2103">
        <v>1010</v>
      </c>
      <c r="G2103" t="s">
        <v>130</v>
      </c>
      <c r="J2103" t="s">
        <v>125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>"14:53:39.922"</f>
        <v>14:53:39.922</v>
      </c>
      <c r="T2103" t="str">
        <f>"14:53:39.422"</f>
        <v>14:53:39.422</v>
      </c>
      <c r="U2103" t="str">
        <f t="shared" si="102"/>
        <v>A0F928</v>
      </c>
      <c r="V2103">
        <v>0</v>
      </c>
      <c r="W2103">
        <v>0</v>
      </c>
      <c r="X2103">
        <v>2</v>
      </c>
      <c r="Z2103">
        <v>0</v>
      </c>
      <c r="AA2103">
        <v>9</v>
      </c>
      <c r="AB2103">
        <v>3</v>
      </c>
      <c r="AC2103">
        <v>0</v>
      </c>
      <c r="AD2103">
        <v>10</v>
      </c>
      <c r="AE2103">
        <v>0</v>
      </c>
      <c r="AF2103">
        <v>0</v>
      </c>
      <c r="AG2103">
        <v>2</v>
      </c>
      <c r="AH2103">
        <v>1</v>
      </c>
      <c r="AI2103" t="s">
        <v>1099</v>
      </c>
      <c r="AJ2103">
        <v>35.853409999999997</v>
      </c>
      <c r="AK2103" t="s">
        <v>1100</v>
      </c>
      <c r="AL2103">
        <v>-83.962475999999995</v>
      </c>
      <c r="AM2103">
        <v>25</v>
      </c>
      <c r="AN2103">
        <v>1175</v>
      </c>
      <c r="AO2103" t="s">
        <v>118</v>
      </c>
      <c r="AP2103">
        <v>68</v>
      </c>
      <c r="AQ2103">
        <v>-83</v>
      </c>
      <c r="AR2103">
        <v>-512</v>
      </c>
      <c r="AZ2103">
        <v>300</v>
      </c>
      <c r="BA2103">
        <v>1</v>
      </c>
      <c r="BB2103" t="str">
        <f t="shared" si="104"/>
        <v xml:space="preserve">N162AM  </v>
      </c>
      <c r="BC2103">
        <v>1</v>
      </c>
      <c r="BE2103">
        <v>0</v>
      </c>
      <c r="BF2103">
        <v>0</v>
      </c>
      <c r="BG2103">
        <v>0</v>
      </c>
      <c r="BH2103">
        <v>1425</v>
      </c>
      <c r="BI2103">
        <v>1</v>
      </c>
      <c r="BJ2103">
        <v>1</v>
      </c>
      <c r="BK2103">
        <v>1</v>
      </c>
      <c r="BL2103">
        <v>0</v>
      </c>
      <c r="BO2103">
        <v>0</v>
      </c>
      <c r="BP2103">
        <v>0</v>
      </c>
      <c r="BW2103" t="str">
        <f>"14:53:39.927"</f>
        <v>14:53:39.927</v>
      </c>
      <c r="CJ2103">
        <v>2</v>
      </c>
      <c r="CK2103">
        <v>2</v>
      </c>
      <c r="CL2103">
        <v>0</v>
      </c>
      <c r="CM2103">
        <v>2</v>
      </c>
      <c r="CN2103">
        <v>0</v>
      </c>
      <c r="CO2103">
        <v>4</v>
      </c>
      <c r="CP2103" t="s">
        <v>119</v>
      </c>
      <c r="CQ2103">
        <v>232</v>
      </c>
      <c r="CR2103">
        <v>2</v>
      </c>
      <c r="CW2103">
        <v>7043906</v>
      </c>
      <c r="CY2103">
        <v>1</v>
      </c>
      <c r="CZ2103">
        <v>0</v>
      </c>
      <c r="DA2103">
        <v>1</v>
      </c>
      <c r="DB2103">
        <v>0</v>
      </c>
      <c r="DC2103">
        <v>0</v>
      </c>
      <c r="DD2103">
        <v>1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3">
      <c r="A2104" t="str">
        <f>"12/16/2021 14:53:40.166"</f>
        <v>12/16/2021 14:53:40.166</v>
      </c>
      <c r="C2104" t="str">
        <f t="shared" si="103"/>
        <v>FFDFD3C0</v>
      </c>
      <c r="D2104" t="s">
        <v>124</v>
      </c>
      <c r="E2104">
        <v>5</v>
      </c>
      <c r="F2104">
        <v>1005</v>
      </c>
      <c r="G2104" t="s">
        <v>114</v>
      </c>
      <c r="J2104" t="s">
        <v>125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>"14:53:39.922"</f>
        <v>14:53:39.922</v>
      </c>
      <c r="T2104" t="str">
        <f>"14:53:39.422"</f>
        <v>14:53:39.422</v>
      </c>
      <c r="U2104" t="str">
        <f t="shared" si="102"/>
        <v>A0F928</v>
      </c>
      <c r="V2104">
        <v>0</v>
      </c>
      <c r="W2104">
        <v>0</v>
      </c>
      <c r="X2104">
        <v>2</v>
      </c>
      <c r="Z2104">
        <v>0</v>
      </c>
      <c r="AA2104">
        <v>9</v>
      </c>
      <c r="AB2104">
        <v>3</v>
      </c>
      <c r="AC2104">
        <v>0</v>
      </c>
      <c r="AD2104">
        <v>10</v>
      </c>
      <c r="AE2104">
        <v>0</v>
      </c>
      <c r="AF2104">
        <v>3</v>
      </c>
      <c r="AG2104">
        <v>2</v>
      </c>
      <c r="AH2104">
        <v>1</v>
      </c>
      <c r="AI2104" t="s">
        <v>1099</v>
      </c>
      <c r="AJ2104">
        <v>35.853409999999997</v>
      </c>
      <c r="AK2104" t="s">
        <v>1100</v>
      </c>
      <c r="AL2104">
        <v>-83.962475999999995</v>
      </c>
      <c r="AM2104">
        <v>25</v>
      </c>
      <c r="AN2104">
        <v>1175</v>
      </c>
      <c r="AO2104" t="s">
        <v>118</v>
      </c>
      <c r="AP2104">
        <v>68</v>
      </c>
      <c r="AQ2104">
        <v>-83</v>
      </c>
      <c r="AR2104">
        <v>-512</v>
      </c>
      <c r="AZ2104">
        <v>300</v>
      </c>
      <c r="BA2104">
        <v>1</v>
      </c>
      <c r="BB2104" t="str">
        <f t="shared" si="104"/>
        <v xml:space="preserve">N162AM  </v>
      </c>
      <c r="BC2104">
        <v>1</v>
      </c>
      <c r="BE2104">
        <v>0</v>
      </c>
      <c r="BF2104">
        <v>0</v>
      </c>
      <c r="BG2104">
        <v>0</v>
      </c>
      <c r="BH2104">
        <v>1425</v>
      </c>
      <c r="BI2104">
        <v>1</v>
      </c>
      <c r="BJ2104">
        <v>1</v>
      </c>
      <c r="BK2104">
        <v>1</v>
      </c>
      <c r="BL2104">
        <v>0</v>
      </c>
      <c r="BO2104">
        <v>0</v>
      </c>
      <c r="BP2104">
        <v>0</v>
      </c>
      <c r="BW2104" t="str">
        <f>"14:53:39.927"</f>
        <v>14:53:39.927</v>
      </c>
      <c r="CJ2104">
        <v>3</v>
      </c>
      <c r="CK2104">
        <v>2</v>
      </c>
      <c r="CL2104">
        <v>0</v>
      </c>
      <c r="CM2104">
        <v>2</v>
      </c>
      <c r="CN2104">
        <v>0</v>
      </c>
      <c r="CO2104">
        <v>4</v>
      </c>
      <c r="CP2104" t="s">
        <v>119</v>
      </c>
      <c r="CQ2104">
        <v>232</v>
      </c>
      <c r="CR2104">
        <v>2</v>
      </c>
      <c r="CW2104">
        <v>7043906</v>
      </c>
      <c r="CY2104">
        <v>1</v>
      </c>
      <c r="CZ2104">
        <v>0</v>
      </c>
      <c r="DA2104">
        <v>1</v>
      </c>
      <c r="DB2104">
        <v>0</v>
      </c>
      <c r="DC2104">
        <v>0</v>
      </c>
      <c r="DD2104">
        <v>1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3">
      <c r="A2105" t="str">
        <f>"12/16/2021 14:53:40.166"</f>
        <v>12/16/2021 14:53:40.166</v>
      </c>
      <c r="C2105" t="str">
        <f t="shared" si="103"/>
        <v>FFDFD3C0</v>
      </c>
      <c r="D2105" t="s">
        <v>113</v>
      </c>
      <c r="E2105">
        <v>8</v>
      </c>
      <c r="H2105">
        <v>176</v>
      </c>
      <c r="I2105" t="s">
        <v>114</v>
      </c>
      <c r="J2105" t="s">
        <v>115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>"14:53:39.922"</f>
        <v>14:53:39.922</v>
      </c>
      <c r="T2105" t="str">
        <f>"14:53:39.422"</f>
        <v>14:53:39.422</v>
      </c>
      <c r="U2105" t="str">
        <f t="shared" si="102"/>
        <v>A0F928</v>
      </c>
      <c r="V2105">
        <v>0</v>
      </c>
      <c r="W2105">
        <v>0</v>
      </c>
      <c r="X2105">
        <v>2</v>
      </c>
      <c r="Z2105">
        <v>0</v>
      </c>
      <c r="AA2105">
        <v>9</v>
      </c>
      <c r="AB2105">
        <v>3</v>
      </c>
      <c r="AC2105">
        <v>0</v>
      </c>
      <c r="AD2105">
        <v>10</v>
      </c>
      <c r="AE2105">
        <v>0</v>
      </c>
      <c r="AF2105">
        <v>3</v>
      </c>
      <c r="AG2105">
        <v>2</v>
      </c>
      <c r="AH2105">
        <v>1</v>
      </c>
      <c r="AI2105" t="s">
        <v>1099</v>
      </c>
      <c r="AJ2105">
        <v>35.853409999999997</v>
      </c>
      <c r="AK2105" t="s">
        <v>1100</v>
      </c>
      <c r="AL2105">
        <v>-83.962475999999995</v>
      </c>
      <c r="AM2105">
        <v>25</v>
      </c>
      <c r="AN2105">
        <v>1175</v>
      </c>
      <c r="AO2105" t="s">
        <v>118</v>
      </c>
      <c r="AP2105">
        <v>68</v>
      </c>
      <c r="AQ2105">
        <v>-83</v>
      </c>
      <c r="AR2105">
        <v>-512</v>
      </c>
      <c r="AZ2105">
        <v>300</v>
      </c>
      <c r="BA2105">
        <v>1</v>
      </c>
      <c r="BB2105" t="str">
        <f t="shared" si="104"/>
        <v xml:space="preserve">N162AM  </v>
      </c>
      <c r="BC2105">
        <v>1</v>
      </c>
      <c r="BE2105">
        <v>0</v>
      </c>
      <c r="BF2105">
        <v>0</v>
      </c>
      <c r="BG2105">
        <v>0</v>
      </c>
      <c r="BH2105">
        <v>1425</v>
      </c>
      <c r="BI2105">
        <v>1</v>
      </c>
      <c r="BJ2105">
        <v>1</v>
      </c>
      <c r="BK2105">
        <v>1</v>
      </c>
      <c r="BL2105">
        <v>0</v>
      </c>
      <c r="BO2105">
        <v>0</v>
      </c>
      <c r="BP2105">
        <v>0</v>
      </c>
      <c r="BW2105" t="str">
        <f>"14:53:39.927"</f>
        <v>14:53:39.927</v>
      </c>
      <c r="CJ2105">
        <v>3</v>
      </c>
      <c r="CK2105">
        <v>2</v>
      </c>
      <c r="CL2105">
        <v>0</v>
      </c>
      <c r="CM2105">
        <v>2</v>
      </c>
      <c r="CN2105">
        <v>0</v>
      </c>
      <c r="CO2105">
        <v>4</v>
      </c>
      <c r="CP2105" t="s">
        <v>119</v>
      </c>
      <c r="CQ2105">
        <v>232</v>
      </c>
      <c r="CR2105">
        <v>2</v>
      </c>
      <c r="CW2105">
        <v>7043906</v>
      </c>
      <c r="CY2105">
        <v>1</v>
      </c>
      <c r="CZ2105">
        <v>0</v>
      </c>
      <c r="DA2105">
        <v>1</v>
      </c>
      <c r="DB2105">
        <v>0</v>
      </c>
      <c r="DC2105">
        <v>0</v>
      </c>
      <c r="DD2105">
        <v>1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3">
      <c r="A2106" t="str">
        <f>"12/16/2021 14:53:41.181"</f>
        <v>12/16/2021 14:53:41.181</v>
      </c>
      <c r="C2106" t="str">
        <f t="shared" si="103"/>
        <v>FFDFD3C0</v>
      </c>
      <c r="D2106" t="s">
        <v>113</v>
      </c>
      <c r="E2106">
        <v>8</v>
      </c>
      <c r="H2106">
        <v>176</v>
      </c>
      <c r="I2106" t="s">
        <v>114</v>
      </c>
      <c r="J2106" t="s">
        <v>115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>"14:53:40.984"</f>
        <v>14:53:40.984</v>
      </c>
      <c r="T2106" t="str">
        <f>"14:53:39.484"</f>
        <v>14:53:39.484</v>
      </c>
      <c r="U2106" t="str">
        <f t="shared" si="102"/>
        <v>A0F928</v>
      </c>
      <c r="V2106">
        <v>0</v>
      </c>
      <c r="W2106">
        <v>0</v>
      </c>
      <c r="X2106">
        <v>2</v>
      </c>
      <c r="Z2106">
        <v>0</v>
      </c>
      <c r="AA2106">
        <v>9</v>
      </c>
      <c r="AB2106">
        <v>3</v>
      </c>
      <c r="AC2106">
        <v>0</v>
      </c>
      <c r="AD2106">
        <v>10</v>
      </c>
      <c r="AE2106">
        <v>0</v>
      </c>
      <c r="AF2106">
        <v>3</v>
      </c>
      <c r="AG2106">
        <v>2</v>
      </c>
      <c r="AH2106">
        <v>1</v>
      </c>
      <c r="AI2106" t="s">
        <v>1101</v>
      </c>
      <c r="AJ2106">
        <v>35.852958999999998</v>
      </c>
      <c r="AK2106" t="s">
        <v>1102</v>
      </c>
      <c r="AL2106">
        <v>-83.962046999999998</v>
      </c>
      <c r="AM2106">
        <v>25</v>
      </c>
      <c r="AN2106">
        <v>1175</v>
      </c>
      <c r="AO2106" t="s">
        <v>118</v>
      </c>
      <c r="AP2106">
        <v>68</v>
      </c>
      <c r="AQ2106">
        <v>-83</v>
      </c>
      <c r="AR2106">
        <v>-512</v>
      </c>
      <c r="AZ2106">
        <v>300</v>
      </c>
      <c r="BA2106">
        <v>1</v>
      </c>
      <c r="BB2106" t="str">
        <f t="shared" si="104"/>
        <v xml:space="preserve">N162AM  </v>
      </c>
      <c r="BC2106">
        <v>1</v>
      </c>
      <c r="BE2106">
        <v>0</v>
      </c>
      <c r="BF2106">
        <v>0</v>
      </c>
      <c r="BG2106">
        <v>0</v>
      </c>
      <c r="BH2106">
        <v>1425</v>
      </c>
      <c r="BI2106">
        <v>1</v>
      </c>
      <c r="BJ2106">
        <v>1</v>
      </c>
      <c r="BK2106">
        <v>1</v>
      </c>
      <c r="BL2106">
        <v>0</v>
      </c>
      <c r="BO2106">
        <v>0</v>
      </c>
      <c r="BP2106">
        <v>0</v>
      </c>
      <c r="BW2106" t="str">
        <f>"14:53:40.987"</f>
        <v>14:53:40.987</v>
      </c>
      <c r="CJ2106">
        <v>3</v>
      </c>
      <c r="CK2106">
        <v>2</v>
      </c>
      <c r="CL2106">
        <v>0</v>
      </c>
      <c r="CM2106">
        <v>2</v>
      </c>
      <c r="CN2106">
        <v>0</v>
      </c>
      <c r="CO2106">
        <v>5</v>
      </c>
      <c r="CP2106" t="s">
        <v>119</v>
      </c>
      <c r="CQ2106">
        <v>232</v>
      </c>
      <c r="CR2106">
        <v>1</v>
      </c>
      <c r="CW2106">
        <v>15827294</v>
      </c>
      <c r="CY2106">
        <v>1</v>
      </c>
      <c r="CZ2106">
        <v>0</v>
      </c>
      <c r="DA2106">
        <v>0</v>
      </c>
      <c r="DB2106">
        <v>0</v>
      </c>
      <c r="DC2106">
        <v>0</v>
      </c>
      <c r="DD2106">
        <v>1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3">
      <c r="A2107" t="str">
        <f>"12/16/2021 14:53:41.228"</f>
        <v>12/16/2021 14:53:41.228</v>
      </c>
      <c r="C2107" t="str">
        <f t="shared" si="103"/>
        <v>FFDFD3C0</v>
      </c>
      <c r="D2107" t="s">
        <v>133</v>
      </c>
      <c r="E2107">
        <v>44</v>
      </c>
      <c r="H2107">
        <v>131</v>
      </c>
      <c r="I2107" t="s">
        <v>134</v>
      </c>
      <c r="J2107" t="s">
        <v>135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>"14:53:40.984"</f>
        <v>14:53:40.984</v>
      </c>
      <c r="T2107" t="str">
        <f>"14:53:39.484"</f>
        <v>14:53:39.484</v>
      </c>
      <c r="U2107" t="str">
        <f t="shared" si="102"/>
        <v>A0F928</v>
      </c>
      <c r="V2107">
        <v>0</v>
      </c>
      <c r="W2107">
        <v>0</v>
      </c>
      <c r="X2107">
        <v>2</v>
      </c>
      <c r="Z2107">
        <v>0</v>
      </c>
      <c r="AA2107">
        <v>9</v>
      </c>
      <c r="AB2107">
        <v>3</v>
      </c>
      <c r="AC2107">
        <v>0</v>
      </c>
      <c r="AD2107">
        <v>10</v>
      </c>
      <c r="AE2107">
        <v>0</v>
      </c>
      <c r="AF2107">
        <v>3</v>
      </c>
      <c r="AG2107">
        <v>2</v>
      </c>
      <c r="AH2107">
        <v>1</v>
      </c>
      <c r="AI2107" t="s">
        <v>1101</v>
      </c>
      <c r="AJ2107">
        <v>35.852958999999998</v>
      </c>
      <c r="AK2107" t="s">
        <v>1102</v>
      </c>
      <c r="AL2107">
        <v>-83.962046999999998</v>
      </c>
      <c r="AM2107">
        <v>25</v>
      </c>
      <c r="AN2107">
        <v>1175</v>
      </c>
      <c r="AO2107" t="s">
        <v>118</v>
      </c>
      <c r="AP2107">
        <v>68</v>
      </c>
      <c r="AQ2107">
        <v>-83</v>
      </c>
      <c r="AR2107">
        <v>-512</v>
      </c>
      <c r="AZ2107">
        <v>300</v>
      </c>
      <c r="BA2107">
        <v>1</v>
      </c>
      <c r="BB2107" t="str">
        <f t="shared" si="104"/>
        <v xml:space="preserve">N162AM  </v>
      </c>
      <c r="BC2107">
        <v>1</v>
      </c>
      <c r="BE2107">
        <v>0</v>
      </c>
      <c r="BF2107">
        <v>0</v>
      </c>
      <c r="BG2107">
        <v>0</v>
      </c>
      <c r="BH2107">
        <v>1425</v>
      </c>
      <c r="BI2107">
        <v>1</v>
      </c>
      <c r="BJ2107">
        <v>1</v>
      </c>
      <c r="BK2107">
        <v>1</v>
      </c>
      <c r="BL2107">
        <v>0</v>
      </c>
      <c r="BO2107">
        <v>0</v>
      </c>
      <c r="BP2107">
        <v>0</v>
      </c>
      <c r="BW2107" t="str">
        <f>"14:53:40.987"</f>
        <v>14:53:40.987</v>
      </c>
      <c r="CJ2107">
        <v>3</v>
      </c>
      <c r="CK2107">
        <v>2</v>
      </c>
      <c r="CL2107">
        <v>0</v>
      </c>
      <c r="CM2107">
        <v>2</v>
      </c>
      <c r="CN2107">
        <v>0</v>
      </c>
      <c r="CO2107">
        <v>5</v>
      </c>
      <c r="CP2107" t="s">
        <v>119</v>
      </c>
      <c r="CQ2107">
        <v>232</v>
      </c>
      <c r="CR2107">
        <v>1</v>
      </c>
      <c r="CW2107">
        <v>15827294</v>
      </c>
      <c r="CY2107">
        <v>1</v>
      </c>
      <c r="CZ2107">
        <v>0</v>
      </c>
      <c r="DA2107">
        <v>1</v>
      </c>
      <c r="DB2107">
        <v>0</v>
      </c>
      <c r="DC2107">
        <v>0</v>
      </c>
      <c r="DD2107">
        <v>1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3">
      <c r="A2108" t="str">
        <f>"12/16/2021 14:53:41.228"</f>
        <v>12/16/2021 14:53:41.228</v>
      </c>
      <c r="C2108" t="str">
        <f t="shared" si="103"/>
        <v>FFDFD3C0</v>
      </c>
      <c r="D2108" t="s">
        <v>124</v>
      </c>
      <c r="E2108">
        <v>5</v>
      </c>
      <c r="F2108">
        <v>1005</v>
      </c>
      <c r="G2108" t="s">
        <v>114</v>
      </c>
      <c r="J2108" t="s">
        <v>125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>"14:53:40.984"</f>
        <v>14:53:40.984</v>
      </c>
      <c r="T2108" t="str">
        <f>"14:53:39.484"</f>
        <v>14:53:39.484</v>
      </c>
      <c r="U2108" t="str">
        <f t="shared" si="102"/>
        <v>A0F928</v>
      </c>
      <c r="V2108">
        <v>0</v>
      </c>
      <c r="W2108">
        <v>0</v>
      </c>
      <c r="X2108">
        <v>2</v>
      </c>
      <c r="Z2108">
        <v>0</v>
      </c>
      <c r="AA2108">
        <v>9</v>
      </c>
      <c r="AB2108">
        <v>3</v>
      </c>
      <c r="AC2108">
        <v>0</v>
      </c>
      <c r="AD2108">
        <v>10</v>
      </c>
      <c r="AE2108">
        <v>0</v>
      </c>
      <c r="AF2108">
        <v>3</v>
      </c>
      <c r="AG2108">
        <v>2</v>
      </c>
      <c r="AH2108">
        <v>1</v>
      </c>
      <c r="AI2108" t="s">
        <v>1101</v>
      </c>
      <c r="AJ2108">
        <v>35.852958999999998</v>
      </c>
      <c r="AK2108" t="s">
        <v>1102</v>
      </c>
      <c r="AL2108">
        <v>-83.962046999999998</v>
      </c>
      <c r="AM2108">
        <v>25</v>
      </c>
      <c r="AN2108">
        <v>1175</v>
      </c>
      <c r="AO2108" t="s">
        <v>118</v>
      </c>
      <c r="AP2108">
        <v>68</v>
      </c>
      <c r="AQ2108">
        <v>-83</v>
      </c>
      <c r="AR2108">
        <v>-512</v>
      </c>
      <c r="AZ2108">
        <v>300</v>
      </c>
      <c r="BA2108">
        <v>1</v>
      </c>
      <c r="BB2108" t="str">
        <f t="shared" si="104"/>
        <v xml:space="preserve">N162AM  </v>
      </c>
      <c r="BC2108">
        <v>1</v>
      </c>
      <c r="BE2108">
        <v>0</v>
      </c>
      <c r="BF2108">
        <v>0</v>
      </c>
      <c r="BG2108">
        <v>0</v>
      </c>
      <c r="BH2108">
        <v>1425</v>
      </c>
      <c r="BI2108">
        <v>1</v>
      </c>
      <c r="BJ2108">
        <v>1</v>
      </c>
      <c r="BK2108">
        <v>1</v>
      </c>
      <c r="BL2108">
        <v>0</v>
      </c>
      <c r="BO2108">
        <v>0</v>
      </c>
      <c r="BP2108">
        <v>0</v>
      </c>
      <c r="BW2108" t="str">
        <f>"14:53:40.987"</f>
        <v>14:53:40.987</v>
      </c>
      <c r="CJ2108">
        <v>3</v>
      </c>
      <c r="CK2108">
        <v>2</v>
      </c>
      <c r="CL2108">
        <v>0</v>
      </c>
      <c r="CM2108">
        <v>2</v>
      </c>
      <c r="CN2108">
        <v>0</v>
      </c>
      <c r="CO2108">
        <v>5</v>
      </c>
      <c r="CP2108" t="s">
        <v>119</v>
      </c>
      <c r="CQ2108">
        <v>232</v>
      </c>
      <c r="CR2108">
        <v>1</v>
      </c>
      <c r="CW2108">
        <v>15827294</v>
      </c>
      <c r="CY2108">
        <v>1</v>
      </c>
      <c r="CZ2108">
        <v>0</v>
      </c>
      <c r="DA2108">
        <v>1</v>
      </c>
      <c r="DB2108">
        <v>0</v>
      </c>
      <c r="DC2108">
        <v>0</v>
      </c>
      <c r="DD2108">
        <v>1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3">
      <c r="A2109" t="str">
        <f>"12/16/2021 14:53:41.228"</f>
        <v>12/16/2021 14:53:41.228</v>
      </c>
      <c r="C2109" t="str">
        <f t="shared" si="103"/>
        <v>FFDFD3C0</v>
      </c>
      <c r="D2109" t="s">
        <v>124</v>
      </c>
      <c r="E2109">
        <v>10</v>
      </c>
      <c r="F2109">
        <v>1010</v>
      </c>
      <c r="G2109" t="s">
        <v>130</v>
      </c>
      <c r="J2109" t="s">
        <v>125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>"14:53:40.984"</f>
        <v>14:53:40.984</v>
      </c>
      <c r="T2109" t="str">
        <f>"14:53:39.484"</f>
        <v>14:53:39.484</v>
      </c>
      <c r="U2109" t="str">
        <f t="shared" si="102"/>
        <v>A0F928</v>
      </c>
      <c r="V2109">
        <v>0</v>
      </c>
      <c r="W2109">
        <v>0</v>
      </c>
      <c r="X2109">
        <v>2</v>
      </c>
      <c r="Z2109">
        <v>0</v>
      </c>
      <c r="AA2109">
        <v>9</v>
      </c>
      <c r="AB2109">
        <v>3</v>
      </c>
      <c r="AC2109">
        <v>0</v>
      </c>
      <c r="AD2109">
        <v>10</v>
      </c>
      <c r="AE2109">
        <v>0</v>
      </c>
      <c r="AF2109">
        <v>0</v>
      </c>
      <c r="AG2109">
        <v>2</v>
      </c>
      <c r="AH2109">
        <v>1</v>
      </c>
      <c r="AI2109" t="s">
        <v>1101</v>
      </c>
      <c r="AJ2109">
        <v>35.852958999999998</v>
      </c>
      <c r="AK2109" t="s">
        <v>1102</v>
      </c>
      <c r="AL2109">
        <v>-83.962046999999998</v>
      </c>
      <c r="AM2109">
        <v>25</v>
      </c>
      <c r="AN2109">
        <v>1175</v>
      </c>
      <c r="AO2109" t="s">
        <v>118</v>
      </c>
      <c r="AP2109">
        <v>68</v>
      </c>
      <c r="AQ2109">
        <v>-83</v>
      </c>
      <c r="AR2109">
        <v>-512</v>
      </c>
      <c r="AZ2109">
        <v>300</v>
      </c>
      <c r="BA2109">
        <v>1</v>
      </c>
      <c r="BB2109" t="str">
        <f t="shared" si="104"/>
        <v xml:space="preserve">N162AM  </v>
      </c>
      <c r="BC2109">
        <v>1</v>
      </c>
      <c r="BE2109">
        <v>0</v>
      </c>
      <c r="BF2109">
        <v>0</v>
      </c>
      <c r="BG2109">
        <v>0</v>
      </c>
      <c r="BH2109">
        <v>1425</v>
      </c>
      <c r="BI2109">
        <v>1</v>
      </c>
      <c r="BJ2109">
        <v>1</v>
      </c>
      <c r="BK2109">
        <v>1</v>
      </c>
      <c r="BL2109">
        <v>0</v>
      </c>
      <c r="BO2109">
        <v>0</v>
      </c>
      <c r="BP2109">
        <v>0</v>
      </c>
      <c r="BW2109" t="str">
        <f>"14:53:40.987"</f>
        <v>14:53:40.987</v>
      </c>
      <c r="CJ2109">
        <v>2</v>
      </c>
      <c r="CK2109">
        <v>2</v>
      </c>
      <c r="CL2109">
        <v>0</v>
      </c>
      <c r="CM2109">
        <v>2</v>
      </c>
      <c r="CN2109">
        <v>0</v>
      </c>
      <c r="CO2109">
        <v>5</v>
      </c>
      <c r="CP2109" t="s">
        <v>119</v>
      </c>
      <c r="CQ2109">
        <v>232</v>
      </c>
      <c r="CR2109">
        <v>1</v>
      </c>
      <c r="CW2109">
        <v>15827294</v>
      </c>
      <c r="CY2109">
        <v>1</v>
      </c>
      <c r="CZ2109">
        <v>0</v>
      </c>
      <c r="DA2109">
        <v>1</v>
      </c>
      <c r="DB2109">
        <v>0</v>
      </c>
      <c r="DC2109">
        <v>0</v>
      </c>
      <c r="DD2109">
        <v>1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3">
      <c r="A2110" t="str">
        <f>"12/16/2021 14:53:42.259"</f>
        <v>12/16/2021 14:53:42.259</v>
      </c>
      <c r="C2110" t="str">
        <f t="shared" si="103"/>
        <v>FFDFD3C0</v>
      </c>
      <c r="D2110" t="s">
        <v>133</v>
      </c>
      <c r="E2110">
        <v>44</v>
      </c>
      <c r="H2110">
        <v>131</v>
      </c>
      <c r="I2110" t="s">
        <v>134</v>
      </c>
      <c r="J2110" t="s">
        <v>135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>"14:53:42.039"</f>
        <v>14:53:42.039</v>
      </c>
      <c r="T2110" t="str">
        <f>"14:53:41.039"</f>
        <v>14:53:41.039</v>
      </c>
      <c r="U2110" t="str">
        <f t="shared" si="102"/>
        <v>A0F928</v>
      </c>
      <c r="V2110">
        <v>0</v>
      </c>
      <c r="W2110">
        <v>0</v>
      </c>
      <c r="X2110">
        <v>2</v>
      </c>
      <c r="Z2110">
        <v>0</v>
      </c>
      <c r="AA2110">
        <v>9</v>
      </c>
      <c r="AB2110">
        <v>3</v>
      </c>
      <c r="AC2110">
        <v>0</v>
      </c>
      <c r="AD2110">
        <v>10</v>
      </c>
      <c r="AE2110">
        <v>0</v>
      </c>
      <c r="AF2110">
        <v>3</v>
      </c>
      <c r="AG2110">
        <v>2</v>
      </c>
      <c r="AH2110">
        <v>1</v>
      </c>
      <c r="AI2110" t="s">
        <v>1103</v>
      </c>
      <c r="AJ2110">
        <v>35.852594000000003</v>
      </c>
      <c r="AK2110" t="s">
        <v>1104</v>
      </c>
      <c r="AL2110">
        <v>-83.961703999999997</v>
      </c>
      <c r="AM2110">
        <v>25</v>
      </c>
      <c r="AN2110">
        <v>1150</v>
      </c>
      <c r="AO2110" t="s">
        <v>118</v>
      </c>
      <c r="AP2110">
        <v>67</v>
      </c>
      <c r="AQ2110">
        <v>-82</v>
      </c>
      <c r="AR2110">
        <v>-256</v>
      </c>
      <c r="AZ2110">
        <v>300</v>
      </c>
      <c r="BA2110">
        <v>1</v>
      </c>
      <c r="BB2110" t="str">
        <f t="shared" si="104"/>
        <v xml:space="preserve">N162AM  </v>
      </c>
      <c r="BC2110">
        <v>1</v>
      </c>
      <c r="BE2110">
        <v>0</v>
      </c>
      <c r="BF2110">
        <v>0</v>
      </c>
      <c r="BG2110">
        <v>0</v>
      </c>
      <c r="BH2110">
        <v>1425</v>
      </c>
      <c r="BI2110">
        <v>1</v>
      </c>
      <c r="BJ2110">
        <v>1</v>
      </c>
      <c r="BK2110">
        <v>1</v>
      </c>
      <c r="BL2110">
        <v>0</v>
      </c>
      <c r="BO2110">
        <v>0</v>
      </c>
      <c r="BP2110">
        <v>0</v>
      </c>
      <c r="BW2110" t="str">
        <f>"14:53:42.045"</f>
        <v>14:53:42.045</v>
      </c>
      <c r="CJ2110">
        <v>3</v>
      </c>
      <c r="CK2110">
        <v>2</v>
      </c>
      <c r="CL2110">
        <v>0</v>
      </c>
      <c r="CM2110">
        <v>2</v>
      </c>
      <c r="CN2110">
        <v>0</v>
      </c>
      <c r="CO2110">
        <v>4</v>
      </c>
      <c r="CP2110" t="s">
        <v>119</v>
      </c>
      <c r="CQ2110">
        <v>232</v>
      </c>
      <c r="CR2110">
        <v>1</v>
      </c>
      <c r="CW2110">
        <v>15828876</v>
      </c>
      <c r="CY2110">
        <v>1</v>
      </c>
      <c r="CZ2110">
        <v>0</v>
      </c>
      <c r="DA2110">
        <v>0</v>
      </c>
      <c r="DB2110">
        <v>0</v>
      </c>
      <c r="DC2110">
        <v>0</v>
      </c>
      <c r="DD2110">
        <v>1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3">
      <c r="A2111" t="str">
        <f>"12/16/2021 14:53:42.259"</f>
        <v>12/16/2021 14:53:42.259</v>
      </c>
      <c r="C2111" t="str">
        <f t="shared" si="103"/>
        <v>FFDFD3C0</v>
      </c>
      <c r="D2111" t="s">
        <v>124</v>
      </c>
      <c r="E2111">
        <v>10</v>
      </c>
      <c r="F2111">
        <v>1010</v>
      </c>
      <c r="G2111" t="s">
        <v>130</v>
      </c>
      <c r="J2111" t="s">
        <v>125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>"14:53:42.039"</f>
        <v>14:53:42.039</v>
      </c>
      <c r="T2111" t="str">
        <f>"14:53:41.039"</f>
        <v>14:53:41.039</v>
      </c>
      <c r="U2111" t="str">
        <f t="shared" si="102"/>
        <v>A0F928</v>
      </c>
      <c r="V2111">
        <v>0</v>
      </c>
      <c r="W2111">
        <v>0</v>
      </c>
      <c r="X2111">
        <v>2</v>
      </c>
      <c r="Z2111">
        <v>0</v>
      </c>
      <c r="AA2111">
        <v>9</v>
      </c>
      <c r="AB2111">
        <v>3</v>
      </c>
      <c r="AC2111">
        <v>0</v>
      </c>
      <c r="AD2111">
        <v>10</v>
      </c>
      <c r="AE2111">
        <v>0</v>
      </c>
      <c r="AF2111">
        <v>0</v>
      </c>
      <c r="AG2111">
        <v>2</v>
      </c>
      <c r="AH2111">
        <v>1</v>
      </c>
      <c r="AI2111" t="s">
        <v>1103</v>
      </c>
      <c r="AJ2111">
        <v>35.852594000000003</v>
      </c>
      <c r="AK2111" t="s">
        <v>1104</v>
      </c>
      <c r="AL2111">
        <v>-83.961703999999997</v>
      </c>
      <c r="AM2111">
        <v>25</v>
      </c>
      <c r="AN2111">
        <v>1150</v>
      </c>
      <c r="AO2111" t="s">
        <v>118</v>
      </c>
      <c r="AP2111">
        <v>67</v>
      </c>
      <c r="AQ2111">
        <v>-82</v>
      </c>
      <c r="AR2111">
        <v>-256</v>
      </c>
      <c r="AZ2111">
        <v>300</v>
      </c>
      <c r="BA2111">
        <v>1</v>
      </c>
      <c r="BB2111" t="str">
        <f t="shared" si="104"/>
        <v xml:space="preserve">N162AM  </v>
      </c>
      <c r="BC2111">
        <v>1</v>
      </c>
      <c r="BE2111">
        <v>0</v>
      </c>
      <c r="BF2111">
        <v>0</v>
      </c>
      <c r="BG2111">
        <v>0</v>
      </c>
      <c r="BH2111">
        <v>1425</v>
      </c>
      <c r="BI2111">
        <v>1</v>
      </c>
      <c r="BJ2111">
        <v>1</v>
      </c>
      <c r="BK2111">
        <v>1</v>
      </c>
      <c r="BL2111">
        <v>0</v>
      </c>
      <c r="BO2111">
        <v>0</v>
      </c>
      <c r="BP2111">
        <v>0</v>
      </c>
      <c r="BW2111" t="str">
        <f>"14:53:42.045"</f>
        <v>14:53:42.045</v>
      </c>
      <c r="CJ2111">
        <v>2</v>
      </c>
      <c r="CK2111">
        <v>2</v>
      </c>
      <c r="CL2111">
        <v>0</v>
      </c>
      <c r="CM2111">
        <v>2</v>
      </c>
      <c r="CN2111">
        <v>0</v>
      </c>
      <c r="CO2111">
        <v>4</v>
      </c>
      <c r="CP2111" t="s">
        <v>119</v>
      </c>
      <c r="CQ2111">
        <v>232</v>
      </c>
      <c r="CR2111">
        <v>1</v>
      </c>
      <c r="CW2111">
        <v>15828876</v>
      </c>
      <c r="CY2111">
        <v>1</v>
      </c>
      <c r="CZ2111">
        <v>0</v>
      </c>
      <c r="DA2111">
        <v>1</v>
      </c>
      <c r="DB2111">
        <v>0</v>
      </c>
      <c r="DC2111">
        <v>0</v>
      </c>
      <c r="DD2111">
        <v>1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3">
      <c r="A2112" t="str">
        <f>"12/16/2021 14:53:42.259"</f>
        <v>12/16/2021 14:53:42.259</v>
      </c>
      <c r="C2112" t="str">
        <f t="shared" si="103"/>
        <v>FFDFD3C0</v>
      </c>
      <c r="D2112" t="s">
        <v>124</v>
      </c>
      <c r="E2112">
        <v>5</v>
      </c>
      <c r="F2112">
        <v>1005</v>
      </c>
      <c r="G2112" t="s">
        <v>114</v>
      </c>
      <c r="J2112" t="s">
        <v>125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>"14:53:42.039"</f>
        <v>14:53:42.039</v>
      </c>
      <c r="T2112" t="str">
        <f>"14:53:41.039"</f>
        <v>14:53:41.039</v>
      </c>
      <c r="U2112" t="str">
        <f t="shared" si="102"/>
        <v>A0F928</v>
      </c>
      <c r="V2112">
        <v>0</v>
      </c>
      <c r="W2112">
        <v>0</v>
      </c>
      <c r="X2112">
        <v>2</v>
      </c>
      <c r="Z2112">
        <v>0</v>
      </c>
      <c r="AA2112">
        <v>9</v>
      </c>
      <c r="AB2112">
        <v>3</v>
      </c>
      <c r="AC2112">
        <v>0</v>
      </c>
      <c r="AD2112">
        <v>10</v>
      </c>
      <c r="AE2112">
        <v>0</v>
      </c>
      <c r="AF2112">
        <v>3</v>
      </c>
      <c r="AG2112">
        <v>2</v>
      </c>
      <c r="AH2112">
        <v>1</v>
      </c>
      <c r="AI2112" t="s">
        <v>1103</v>
      </c>
      <c r="AJ2112">
        <v>35.852594000000003</v>
      </c>
      <c r="AK2112" t="s">
        <v>1104</v>
      </c>
      <c r="AL2112">
        <v>-83.961703999999997</v>
      </c>
      <c r="AM2112">
        <v>25</v>
      </c>
      <c r="AN2112">
        <v>1150</v>
      </c>
      <c r="AO2112" t="s">
        <v>118</v>
      </c>
      <c r="AP2112">
        <v>67</v>
      </c>
      <c r="AQ2112">
        <v>-82</v>
      </c>
      <c r="AR2112">
        <v>-256</v>
      </c>
      <c r="AZ2112">
        <v>300</v>
      </c>
      <c r="BA2112">
        <v>1</v>
      </c>
      <c r="BB2112" t="str">
        <f t="shared" si="104"/>
        <v xml:space="preserve">N162AM  </v>
      </c>
      <c r="BC2112">
        <v>1</v>
      </c>
      <c r="BE2112">
        <v>0</v>
      </c>
      <c r="BF2112">
        <v>0</v>
      </c>
      <c r="BG2112">
        <v>0</v>
      </c>
      <c r="BH2112">
        <v>1425</v>
      </c>
      <c r="BI2112">
        <v>1</v>
      </c>
      <c r="BJ2112">
        <v>1</v>
      </c>
      <c r="BK2112">
        <v>1</v>
      </c>
      <c r="BL2112">
        <v>0</v>
      </c>
      <c r="BO2112">
        <v>0</v>
      </c>
      <c r="BP2112">
        <v>0</v>
      </c>
      <c r="BW2112" t="str">
        <f>"14:53:42.045"</f>
        <v>14:53:42.045</v>
      </c>
      <c r="CJ2112">
        <v>3</v>
      </c>
      <c r="CK2112">
        <v>2</v>
      </c>
      <c r="CL2112">
        <v>0</v>
      </c>
      <c r="CM2112">
        <v>2</v>
      </c>
      <c r="CN2112">
        <v>0</v>
      </c>
      <c r="CO2112">
        <v>4</v>
      </c>
      <c r="CP2112" t="s">
        <v>119</v>
      </c>
      <c r="CQ2112">
        <v>232</v>
      </c>
      <c r="CR2112">
        <v>1</v>
      </c>
      <c r="CW2112">
        <v>15828876</v>
      </c>
      <c r="CY2112">
        <v>1</v>
      </c>
      <c r="CZ2112">
        <v>0</v>
      </c>
      <c r="DA2112">
        <v>1</v>
      </c>
      <c r="DB2112">
        <v>0</v>
      </c>
      <c r="DC2112">
        <v>0</v>
      </c>
      <c r="DD2112">
        <v>1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3">
      <c r="A2113" t="str">
        <f>"12/16/2021 14:53:42.306"</f>
        <v>12/16/2021 14:53:42.306</v>
      </c>
      <c r="C2113" t="str">
        <f t="shared" si="103"/>
        <v>FFDFD3C0</v>
      </c>
      <c r="D2113" t="s">
        <v>113</v>
      </c>
      <c r="E2113">
        <v>8</v>
      </c>
      <c r="H2113">
        <v>176</v>
      </c>
      <c r="I2113" t="s">
        <v>114</v>
      </c>
      <c r="J2113" t="s">
        <v>115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>"14:53:42.039"</f>
        <v>14:53:42.039</v>
      </c>
      <c r="T2113" t="str">
        <f>"14:53:41.039"</f>
        <v>14:53:41.039</v>
      </c>
      <c r="U2113" t="str">
        <f t="shared" si="102"/>
        <v>A0F928</v>
      </c>
      <c r="V2113">
        <v>0</v>
      </c>
      <c r="W2113">
        <v>0</v>
      </c>
      <c r="X2113">
        <v>2</v>
      </c>
      <c r="Z2113">
        <v>0</v>
      </c>
      <c r="AA2113">
        <v>9</v>
      </c>
      <c r="AB2113">
        <v>3</v>
      </c>
      <c r="AC2113">
        <v>0</v>
      </c>
      <c r="AD2113">
        <v>10</v>
      </c>
      <c r="AE2113">
        <v>0</v>
      </c>
      <c r="AF2113">
        <v>3</v>
      </c>
      <c r="AG2113">
        <v>2</v>
      </c>
      <c r="AH2113">
        <v>1</v>
      </c>
      <c r="AI2113" t="s">
        <v>1103</v>
      </c>
      <c r="AJ2113">
        <v>35.852594000000003</v>
      </c>
      <c r="AK2113" t="s">
        <v>1104</v>
      </c>
      <c r="AL2113">
        <v>-83.961703999999997</v>
      </c>
      <c r="AM2113">
        <v>25</v>
      </c>
      <c r="AN2113">
        <v>1150</v>
      </c>
      <c r="AO2113" t="s">
        <v>118</v>
      </c>
      <c r="AP2113">
        <v>67</v>
      </c>
      <c r="AQ2113">
        <v>-82</v>
      </c>
      <c r="AR2113">
        <v>-256</v>
      </c>
      <c r="AZ2113">
        <v>300</v>
      </c>
      <c r="BA2113">
        <v>1</v>
      </c>
      <c r="BB2113" t="str">
        <f t="shared" si="104"/>
        <v xml:space="preserve">N162AM  </v>
      </c>
      <c r="BC2113">
        <v>1</v>
      </c>
      <c r="BE2113">
        <v>0</v>
      </c>
      <c r="BF2113">
        <v>0</v>
      </c>
      <c r="BG2113">
        <v>0</v>
      </c>
      <c r="BH2113">
        <v>1425</v>
      </c>
      <c r="BI2113">
        <v>1</v>
      </c>
      <c r="BJ2113">
        <v>1</v>
      </c>
      <c r="BK2113">
        <v>1</v>
      </c>
      <c r="BL2113">
        <v>0</v>
      </c>
      <c r="BO2113">
        <v>0</v>
      </c>
      <c r="BP2113">
        <v>0</v>
      </c>
      <c r="BW2113" t="str">
        <f>"14:53:42.045"</f>
        <v>14:53:42.045</v>
      </c>
      <c r="CJ2113">
        <v>3</v>
      </c>
      <c r="CK2113">
        <v>2</v>
      </c>
      <c r="CL2113">
        <v>0</v>
      </c>
      <c r="CM2113">
        <v>2</v>
      </c>
      <c r="CN2113">
        <v>0</v>
      </c>
      <c r="CO2113">
        <v>4</v>
      </c>
      <c r="CP2113" t="s">
        <v>119</v>
      </c>
      <c r="CQ2113">
        <v>232</v>
      </c>
      <c r="CR2113">
        <v>1</v>
      </c>
      <c r="CW2113">
        <v>15828876</v>
      </c>
      <c r="CY2113">
        <v>1</v>
      </c>
      <c r="CZ2113">
        <v>0</v>
      </c>
      <c r="DA2113">
        <v>1</v>
      </c>
      <c r="DB2113">
        <v>0</v>
      </c>
      <c r="DC2113">
        <v>0</v>
      </c>
      <c r="DD2113">
        <v>1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3">
      <c r="A2114" t="str">
        <f>"12/16/2021 14:53:43.322"</f>
        <v>12/16/2021 14:53:43.322</v>
      </c>
      <c r="C2114" t="str">
        <f t="shared" si="103"/>
        <v>FFDFD3C0</v>
      </c>
      <c r="D2114" t="s">
        <v>124</v>
      </c>
      <c r="E2114">
        <v>10</v>
      </c>
      <c r="F2114">
        <v>1010</v>
      </c>
      <c r="G2114" t="s">
        <v>130</v>
      </c>
      <c r="J2114" t="s">
        <v>125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>"14:53:43.063"</f>
        <v>14:53:43.063</v>
      </c>
      <c r="T2114" t="str">
        <f>"14:53:42.063"</f>
        <v>14:53:42.063</v>
      </c>
      <c r="U2114" t="str">
        <f t="shared" ref="U2114:U2177" si="105">"A0F928"</f>
        <v>A0F928</v>
      </c>
      <c r="V2114">
        <v>0</v>
      </c>
      <c r="W2114">
        <v>0</v>
      </c>
      <c r="X2114">
        <v>2</v>
      </c>
      <c r="Z2114">
        <v>0</v>
      </c>
      <c r="AA2114">
        <v>9</v>
      </c>
      <c r="AB2114">
        <v>3</v>
      </c>
      <c r="AC2114">
        <v>0</v>
      </c>
      <c r="AD2114">
        <v>10</v>
      </c>
      <c r="AE2114">
        <v>0</v>
      </c>
      <c r="AF2114">
        <v>0</v>
      </c>
      <c r="AG2114">
        <v>2</v>
      </c>
      <c r="AH2114">
        <v>1</v>
      </c>
      <c r="AI2114" t="s">
        <v>1105</v>
      </c>
      <c r="AJ2114">
        <v>35.852164999999999</v>
      </c>
      <c r="AK2114" t="s">
        <v>1106</v>
      </c>
      <c r="AL2114">
        <v>-83.961252999999999</v>
      </c>
      <c r="AM2114">
        <v>25</v>
      </c>
      <c r="AN2114">
        <v>1150</v>
      </c>
      <c r="AO2114" t="s">
        <v>118</v>
      </c>
      <c r="AP2114">
        <v>66</v>
      </c>
      <c r="AQ2114">
        <v>-82</v>
      </c>
      <c r="AR2114">
        <v>-256</v>
      </c>
      <c r="AZ2114">
        <v>300</v>
      </c>
      <c r="BA2114">
        <v>1</v>
      </c>
      <c r="BB2114" t="str">
        <f t="shared" si="104"/>
        <v xml:space="preserve">N162AM  </v>
      </c>
      <c r="BC2114">
        <v>1</v>
      </c>
      <c r="BE2114">
        <v>0</v>
      </c>
      <c r="BF2114">
        <v>0</v>
      </c>
      <c r="BG2114">
        <v>0</v>
      </c>
      <c r="BH2114">
        <v>1400</v>
      </c>
      <c r="BI2114">
        <v>1</v>
      </c>
      <c r="BJ2114">
        <v>1</v>
      </c>
      <c r="BK2114">
        <v>1</v>
      </c>
      <c r="BL2114">
        <v>0</v>
      </c>
      <c r="BO2114">
        <v>0</v>
      </c>
      <c r="BP2114">
        <v>0</v>
      </c>
      <c r="BW2114" t="str">
        <f>"14:53:43.066"</f>
        <v>14:53:43.066</v>
      </c>
      <c r="CJ2114">
        <v>2</v>
      </c>
      <c r="CK2114">
        <v>2</v>
      </c>
      <c r="CL2114">
        <v>0</v>
      </c>
      <c r="CM2114">
        <v>2</v>
      </c>
      <c r="CN2114">
        <v>0</v>
      </c>
      <c r="CO2114">
        <v>4</v>
      </c>
      <c r="CP2114" t="s">
        <v>119</v>
      </c>
      <c r="CQ2114">
        <v>232</v>
      </c>
      <c r="CR2114">
        <v>1</v>
      </c>
      <c r="CW2114">
        <v>15830352</v>
      </c>
      <c r="CY2114">
        <v>1</v>
      </c>
      <c r="CZ2114">
        <v>0</v>
      </c>
      <c r="DA2114">
        <v>0</v>
      </c>
      <c r="DB2114">
        <v>0</v>
      </c>
      <c r="DC2114">
        <v>0</v>
      </c>
      <c r="DD2114">
        <v>1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3">
      <c r="A2115" t="str">
        <f>"12/16/2021 14:53:43.322"</f>
        <v>12/16/2021 14:53:43.322</v>
      </c>
      <c r="C2115" t="str">
        <f t="shared" si="103"/>
        <v>FFDFD3C0</v>
      </c>
      <c r="D2115" t="s">
        <v>124</v>
      </c>
      <c r="E2115">
        <v>5</v>
      </c>
      <c r="F2115">
        <v>1005</v>
      </c>
      <c r="G2115" t="s">
        <v>114</v>
      </c>
      <c r="J2115" t="s">
        <v>125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>"14:53:43.063"</f>
        <v>14:53:43.063</v>
      </c>
      <c r="T2115" t="str">
        <f>"14:53:42.063"</f>
        <v>14:53:42.063</v>
      </c>
      <c r="U2115" t="str">
        <f t="shared" si="105"/>
        <v>A0F928</v>
      </c>
      <c r="V2115">
        <v>0</v>
      </c>
      <c r="W2115">
        <v>0</v>
      </c>
      <c r="X2115">
        <v>2</v>
      </c>
      <c r="Z2115">
        <v>0</v>
      </c>
      <c r="AA2115">
        <v>9</v>
      </c>
      <c r="AB2115">
        <v>3</v>
      </c>
      <c r="AC2115">
        <v>0</v>
      </c>
      <c r="AD2115">
        <v>10</v>
      </c>
      <c r="AE2115">
        <v>0</v>
      </c>
      <c r="AF2115">
        <v>3</v>
      </c>
      <c r="AG2115">
        <v>2</v>
      </c>
      <c r="AH2115">
        <v>1</v>
      </c>
      <c r="AI2115" t="s">
        <v>1105</v>
      </c>
      <c r="AJ2115">
        <v>35.852164999999999</v>
      </c>
      <c r="AK2115" t="s">
        <v>1106</v>
      </c>
      <c r="AL2115">
        <v>-83.961252999999999</v>
      </c>
      <c r="AM2115">
        <v>25</v>
      </c>
      <c r="AN2115">
        <v>1150</v>
      </c>
      <c r="AO2115" t="s">
        <v>118</v>
      </c>
      <c r="AP2115">
        <v>66</v>
      </c>
      <c r="AQ2115">
        <v>-82</v>
      </c>
      <c r="AR2115">
        <v>-256</v>
      </c>
      <c r="AZ2115">
        <v>300</v>
      </c>
      <c r="BA2115">
        <v>1</v>
      </c>
      <c r="BB2115" t="str">
        <f t="shared" si="104"/>
        <v xml:space="preserve">N162AM  </v>
      </c>
      <c r="BC2115">
        <v>1</v>
      </c>
      <c r="BE2115">
        <v>0</v>
      </c>
      <c r="BF2115">
        <v>0</v>
      </c>
      <c r="BG2115">
        <v>0</v>
      </c>
      <c r="BH2115">
        <v>1400</v>
      </c>
      <c r="BI2115">
        <v>1</v>
      </c>
      <c r="BJ2115">
        <v>1</v>
      </c>
      <c r="BK2115">
        <v>1</v>
      </c>
      <c r="BL2115">
        <v>0</v>
      </c>
      <c r="BO2115">
        <v>0</v>
      </c>
      <c r="BP2115">
        <v>0</v>
      </c>
      <c r="BW2115" t="str">
        <f>"14:53:43.066"</f>
        <v>14:53:43.066</v>
      </c>
      <c r="CJ2115">
        <v>3</v>
      </c>
      <c r="CK2115">
        <v>2</v>
      </c>
      <c r="CL2115">
        <v>0</v>
      </c>
      <c r="CM2115">
        <v>2</v>
      </c>
      <c r="CN2115">
        <v>0</v>
      </c>
      <c r="CO2115">
        <v>4</v>
      </c>
      <c r="CP2115" t="s">
        <v>119</v>
      </c>
      <c r="CQ2115">
        <v>232</v>
      </c>
      <c r="CR2115">
        <v>1</v>
      </c>
      <c r="CW2115">
        <v>15830352</v>
      </c>
      <c r="CY2115">
        <v>1</v>
      </c>
      <c r="CZ2115">
        <v>0</v>
      </c>
      <c r="DA2115">
        <v>1</v>
      </c>
      <c r="DB2115">
        <v>0</v>
      </c>
      <c r="DC2115">
        <v>0</v>
      </c>
      <c r="DD2115">
        <v>1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3">
      <c r="A2116" t="str">
        <f>"12/16/2021 14:53:43.322"</f>
        <v>12/16/2021 14:53:43.322</v>
      </c>
      <c r="C2116" t="str">
        <f t="shared" si="103"/>
        <v>FFDFD3C0</v>
      </c>
      <c r="D2116" t="s">
        <v>133</v>
      </c>
      <c r="E2116">
        <v>44</v>
      </c>
      <c r="H2116">
        <v>131</v>
      </c>
      <c r="I2116" t="s">
        <v>134</v>
      </c>
      <c r="J2116" t="s">
        <v>135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>"14:53:43.063"</f>
        <v>14:53:43.063</v>
      </c>
      <c r="T2116" t="str">
        <f>"14:53:42.063"</f>
        <v>14:53:42.063</v>
      </c>
      <c r="U2116" t="str">
        <f t="shared" si="105"/>
        <v>A0F928</v>
      </c>
      <c r="V2116">
        <v>0</v>
      </c>
      <c r="W2116">
        <v>0</v>
      </c>
      <c r="X2116">
        <v>2</v>
      </c>
      <c r="Z2116">
        <v>0</v>
      </c>
      <c r="AA2116">
        <v>9</v>
      </c>
      <c r="AB2116">
        <v>3</v>
      </c>
      <c r="AC2116">
        <v>0</v>
      </c>
      <c r="AD2116">
        <v>10</v>
      </c>
      <c r="AE2116">
        <v>0</v>
      </c>
      <c r="AF2116">
        <v>3</v>
      </c>
      <c r="AG2116">
        <v>2</v>
      </c>
      <c r="AH2116">
        <v>1</v>
      </c>
      <c r="AI2116" t="s">
        <v>1105</v>
      </c>
      <c r="AJ2116">
        <v>35.852164999999999</v>
      </c>
      <c r="AK2116" t="s">
        <v>1106</v>
      </c>
      <c r="AL2116">
        <v>-83.961252999999999</v>
      </c>
      <c r="AM2116">
        <v>25</v>
      </c>
      <c r="AN2116">
        <v>1150</v>
      </c>
      <c r="AO2116" t="s">
        <v>118</v>
      </c>
      <c r="AP2116">
        <v>66</v>
      </c>
      <c r="AQ2116">
        <v>-82</v>
      </c>
      <c r="AR2116">
        <v>-256</v>
      </c>
      <c r="AZ2116">
        <v>300</v>
      </c>
      <c r="BA2116">
        <v>1</v>
      </c>
      <c r="BB2116" t="str">
        <f t="shared" si="104"/>
        <v xml:space="preserve">N162AM  </v>
      </c>
      <c r="BC2116">
        <v>1</v>
      </c>
      <c r="BE2116">
        <v>0</v>
      </c>
      <c r="BF2116">
        <v>0</v>
      </c>
      <c r="BG2116">
        <v>0</v>
      </c>
      <c r="BH2116">
        <v>1400</v>
      </c>
      <c r="BI2116">
        <v>1</v>
      </c>
      <c r="BJ2116">
        <v>1</v>
      </c>
      <c r="BK2116">
        <v>1</v>
      </c>
      <c r="BL2116">
        <v>0</v>
      </c>
      <c r="BO2116">
        <v>0</v>
      </c>
      <c r="BP2116">
        <v>0</v>
      </c>
      <c r="BW2116" t="str">
        <f>"14:53:43.066"</f>
        <v>14:53:43.066</v>
      </c>
      <c r="CJ2116">
        <v>3</v>
      </c>
      <c r="CK2116">
        <v>2</v>
      </c>
      <c r="CL2116">
        <v>0</v>
      </c>
      <c r="CM2116">
        <v>2</v>
      </c>
      <c r="CN2116">
        <v>0</v>
      </c>
      <c r="CO2116">
        <v>4</v>
      </c>
      <c r="CP2116" t="s">
        <v>119</v>
      </c>
      <c r="CQ2116">
        <v>232</v>
      </c>
      <c r="CR2116">
        <v>1</v>
      </c>
      <c r="CW2116">
        <v>15830352</v>
      </c>
      <c r="CY2116">
        <v>1</v>
      </c>
      <c r="CZ2116">
        <v>0</v>
      </c>
      <c r="DA2116">
        <v>1</v>
      </c>
      <c r="DB2116">
        <v>0</v>
      </c>
      <c r="DC2116">
        <v>0</v>
      </c>
      <c r="DD2116">
        <v>1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3">
      <c r="A2117" t="str">
        <f>"12/16/2021 14:53:43.322"</f>
        <v>12/16/2021 14:53:43.322</v>
      </c>
      <c r="C2117" t="str">
        <f t="shared" si="103"/>
        <v>FFDFD3C0</v>
      </c>
      <c r="D2117" t="s">
        <v>113</v>
      </c>
      <c r="E2117">
        <v>8</v>
      </c>
      <c r="H2117">
        <v>176</v>
      </c>
      <c r="I2117" t="s">
        <v>114</v>
      </c>
      <c r="J2117" t="s">
        <v>115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>"14:53:43.063"</f>
        <v>14:53:43.063</v>
      </c>
      <c r="T2117" t="str">
        <f>"14:53:42.063"</f>
        <v>14:53:42.063</v>
      </c>
      <c r="U2117" t="str">
        <f t="shared" si="105"/>
        <v>A0F928</v>
      </c>
      <c r="V2117">
        <v>0</v>
      </c>
      <c r="W2117">
        <v>0</v>
      </c>
      <c r="X2117">
        <v>2</v>
      </c>
      <c r="Z2117">
        <v>0</v>
      </c>
      <c r="AA2117">
        <v>9</v>
      </c>
      <c r="AB2117">
        <v>3</v>
      </c>
      <c r="AC2117">
        <v>0</v>
      </c>
      <c r="AD2117">
        <v>10</v>
      </c>
      <c r="AE2117">
        <v>0</v>
      </c>
      <c r="AF2117">
        <v>3</v>
      </c>
      <c r="AG2117">
        <v>2</v>
      </c>
      <c r="AH2117">
        <v>1</v>
      </c>
      <c r="AI2117" t="s">
        <v>1105</v>
      </c>
      <c r="AJ2117">
        <v>35.852164999999999</v>
      </c>
      <c r="AK2117" t="s">
        <v>1106</v>
      </c>
      <c r="AL2117">
        <v>-83.961252999999999</v>
      </c>
      <c r="AM2117">
        <v>25</v>
      </c>
      <c r="AN2117">
        <v>1150</v>
      </c>
      <c r="AO2117" t="s">
        <v>118</v>
      </c>
      <c r="AP2117">
        <v>66</v>
      </c>
      <c r="AQ2117">
        <v>-82</v>
      </c>
      <c r="AR2117">
        <v>-256</v>
      </c>
      <c r="AZ2117">
        <v>300</v>
      </c>
      <c r="BA2117">
        <v>1</v>
      </c>
      <c r="BB2117" t="str">
        <f t="shared" si="104"/>
        <v xml:space="preserve">N162AM  </v>
      </c>
      <c r="BC2117">
        <v>1</v>
      </c>
      <c r="BE2117">
        <v>0</v>
      </c>
      <c r="BF2117">
        <v>0</v>
      </c>
      <c r="BG2117">
        <v>0</v>
      </c>
      <c r="BH2117">
        <v>1400</v>
      </c>
      <c r="BI2117">
        <v>1</v>
      </c>
      <c r="BJ2117">
        <v>1</v>
      </c>
      <c r="BK2117">
        <v>1</v>
      </c>
      <c r="BL2117">
        <v>0</v>
      </c>
      <c r="BO2117">
        <v>0</v>
      </c>
      <c r="BP2117">
        <v>0</v>
      </c>
      <c r="BW2117" t="str">
        <f>"14:53:43.066"</f>
        <v>14:53:43.066</v>
      </c>
      <c r="CJ2117">
        <v>3</v>
      </c>
      <c r="CK2117">
        <v>2</v>
      </c>
      <c r="CL2117">
        <v>0</v>
      </c>
      <c r="CM2117">
        <v>2</v>
      </c>
      <c r="CN2117">
        <v>0</v>
      </c>
      <c r="CO2117">
        <v>4</v>
      </c>
      <c r="CP2117" t="s">
        <v>119</v>
      </c>
      <c r="CQ2117">
        <v>232</v>
      </c>
      <c r="CR2117">
        <v>1</v>
      </c>
      <c r="CW2117">
        <v>15830352</v>
      </c>
      <c r="CY2117">
        <v>1</v>
      </c>
      <c r="CZ2117">
        <v>0</v>
      </c>
      <c r="DA2117">
        <v>1</v>
      </c>
      <c r="DB2117">
        <v>0</v>
      </c>
      <c r="DC2117">
        <v>0</v>
      </c>
      <c r="DD2117">
        <v>1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3">
      <c r="A2118" t="str">
        <f>"12/16/2021 14:53:44.275"</f>
        <v>12/16/2021 14:53:44.275</v>
      </c>
      <c r="C2118" t="str">
        <f t="shared" si="103"/>
        <v>FFDFD3C0</v>
      </c>
      <c r="D2118" t="s">
        <v>124</v>
      </c>
      <c r="E2118">
        <v>10</v>
      </c>
      <c r="F2118">
        <v>1010</v>
      </c>
      <c r="G2118" t="s">
        <v>130</v>
      </c>
      <c r="J2118" t="s">
        <v>125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>"14:53:44.078"</f>
        <v>14:53:44.078</v>
      </c>
      <c r="T2118" t="str">
        <f>"14:53:43.678"</f>
        <v>14:53:43.678</v>
      </c>
      <c r="U2118" t="str">
        <f t="shared" si="105"/>
        <v>A0F928</v>
      </c>
      <c r="V2118">
        <v>0</v>
      </c>
      <c r="W2118">
        <v>0</v>
      </c>
      <c r="X2118">
        <v>2</v>
      </c>
      <c r="Z2118">
        <v>0</v>
      </c>
      <c r="AA2118">
        <v>9</v>
      </c>
      <c r="AB2118">
        <v>3</v>
      </c>
      <c r="AC2118">
        <v>0</v>
      </c>
      <c r="AD2118">
        <v>10</v>
      </c>
      <c r="AE2118">
        <v>0</v>
      </c>
      <c r="AF2118">
        <v>0</v>
      </c>
      <c r="AG2118">
        <v>2</v>
      </c>
      <c r="AH2118">
        <v>1</v>
      </c>
      <c r="AI2118" t="s">
        <v>1107</v>
      </c>
      <c r="AJ2118">
        <v>35.851779000000001</v>
      </c>
      <c r="AK2118" t="s">
        <v>1108</v>
      </c>
      <c r="AL2118">
        <v>-83.960909999999998</v>
      </c>
      <c r="AM2118">
        <v>25</v>
      </c>
      <c r="AN2118">
        <v>1150</v>
      </c>
      <c r="AO2118" t="s">
        <v>118</v>
      </c>
      <c r="AP2118">
        <v>65</v>
      </c>
      <c r="AQ2118">
        <v>-81</v>
      </c>
      <c r="AR2118">
        <v>-320</v>
      </c>
      <c r="AZ2118">
        <v>300</v>
      </c>
      <c r="BA2118">
        <v>1</v>
      </c>
      <c r="BB2118" t="str">
        <f t="shared" si="104"/>
        <v xml:space="preserve">N162AM  </v>
      </c>
      <c r="BC2118">
        <v>1</v>
      </c>
      <c r="BE2118">
        <v>0</v>
      </c>
      <c r="BF2118">
        <v>0</v>
      </c>
      <c r="BG2118">
        <v>0</v>
      </c>
      <c r="BH2118">
        <v>1400</v>
      </c>
      <c r="BI2118">
        <v>1</v>
      </c>
      <c r="BJ2118">
        <v>1</v>
      </c>
      <c r="BK2118">
        <v>1</v>
      </c>
      <c r="BL2118">
        <v>0</v>
      </c>
      <c r="BO2118">
        <v>0</v>
      </c>
      <c r="BP2118">
        <v>0</v>
      </c>
      <c r="BW2118" t="str">
        <f>"14:53:44.080"</f>
        <v>14:53:44.080</v>
      </c>
      <c r="CJ2118">
        <v>2</v>
      </c>
      <c r="CK2118">
        <v>2</v>
      </c>
      <c r="CL2118">
        <v>0</v>
      </c>
      <c r="CM2118">
        <v>2</v>
      </c>
      <c r="CN2118">
        <v>0</v>
      </c>
      <c r="CO2118">
        <v>4</v>
      </c>
      <c r="CP2118" t="s">
        <v>119</v>
      </c>
      <c r="CQ2118">
        <v>232</v>
      </c>
      <c r="CR2118">
        <v>1</v>
      </c>
      <c r="CW2118">
        <v>15831763</v>
      </c>
      <c r="CY2118">
        <v>1</v>
      </c>
      <c r="CZ2118">
        <v>0</v>
      </c>
      <c r="DA2118">
        <v>0</v>
      </c>
      <c r="DB2118">
        <v>0</v>
      </c>
      <c r="DC2118">
        <v>0</v>
      </c>
      <c r="DD2118">
        <v>1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3">
      <c r="A2119" t="str">
        <f>"12/16/2021 14:53:44.275"</f>
        <v>12/16/2021 14:53:44.275</v>
      </c>
      <c r="C2119" t="str">
        <f t="shared" si="103"/>
        <v>FFDFD3C0</v>
      </c>
      <c r="D2119" t="s">
        <v>124</v>
      </c>
      <c r="E2119">
        <v>5</v>
      </c>
      <c r="F2119">
        <v>1005</v>
      </c>
      <c r="G2119" t="s">
        <v>114</v>
      </c>
      <c r="J2119" t="s">
        <v>125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>"14:53:44.078"</f>
        <v>14:53:44.078</v>
      </c>
      <c r="T2119" t="str">
        <f>"14:53:43.678"</f>
        <v>14:53:43.678</v>
      </c>
      <c r="U2119" t="str">
        <f t="shared" si="105"/>
        <v>A0F928</v>
      </c>
      <c r="V2119">
        <v>0</v>
      </c>
      <c r="W2119">
        <v>0</v>
      </c>
      <c r="X2119">
        <v>2</v>
      </c>
      <c r="Z2119">
        <v>0</v>
      </c>
      <c r="AA2119">
        <v>9</v>
      </c>
      <c r="AB2119">
        <v>3</v>
      </c>
      <c r="AC2119">
        <v>0</v>
      </c>
      <c r="AD2119">
        <v>10</v>
      </c>
      <c r="AE2119">
        <v>0</v>
      </c>
      <c r="AF2119">
        <v>3</v>
      </c>
      <c r="AG2119">
        <v>2</v>
      </c>
      <c r="AH2119">
        <v>1</v>
      </c>
      <c r="AI2119" t="s">
        <v>1107</v>
      </c>
      <c r="AJ2119">
        <v>35.851779000000001</v>
      </c>
      <c r="AK2119" t="s">
        <v>1108</v>
      </c>
      <c r="AL2119">
        <v>-83.960909999999998</v>
      </c>
      <c r="AM2119">
        <v>25</v>
      </c>
      <c r="AN2119">
        <v>1150</v>
      </c>
      <c r="AO2119" t="s">
        <v>118</v>
      </c>
      <c r="AP2119">
        <v>65</v>
      </c>
      <c r="AQ2119">
        <v>-81</v>
      </c>
      <c r="AR2119">
        <v>-320</v>
      </c>
      <c r="AZ2119">
        <v>300</v>
      </c>
      <c r="BA2119">
        <v>1</v>
      </c>
      <c r="BB2119" t="str">
        <f t="shared" si="104"/>
        <v xml:space="preserve">N162AM  </v>
      </c>
      <c r="BC2119">
        <v>1</v>
      </c>
      <c r="BE2119">
        <v>0</v>
      </c>
      <c r="BF2119">
        <v>0</v>
      </c>
      <c r="BG2119">
        <v>0</v>
      </c>
      <c r="BH2119">
        <v>1400</v>
      </c>
      <c r="BI2119">
        <v>1</v>
      </c>
      <c r="BJ2119">
        <v>1</v>
      </c>
      <c r="BK2119">
        <v>1</v>
      </c>
      <c r="BL2119">
        <v>0</v>
      </c>
      <c r="BO2119">
        <v>0</v>
      </c>
      <c r="BP2119">
        <v>0</v>
      </c>
      <c r="BW2119" t="str">
        <f>"14:53:44.080"</f>
        <v>14:53:44.080</v>
      </c>
      <c r="CJ2119">
        <v>3</v>
      </c>
      <c r="CK2119">
        <v>2</v>
      </c>
      <c r="CL2119">
        <v>0</v>
      </c>
      <c r="CM2119">
        <v>2</v>
      </c>
      <c r="CN2119">
        <v>0</v>
      </c>
      <c r="CO2119">
        <v>4</v>
      </c>
      <c r="CP2119" t="s">
        <v>119</v>
      </c>
      <c r="CQ2119">
        <v>232</v>
      </c>
      <c r="CR2119">
        <v>1</v>
      </c>
      <c r="CW2119">
        <v>15831763</v>
      </c>
      <c r="CY2119">
        <v>1</v>
      </c>
      <c r="CZ2119">
        <v>0</v>
      </c>
      <c r="DA2119">
        <v>1</v>
      </c>
      <c r="DB2119">
        <v>0</v>
      </c>
      <c r="DC2119">
        <v>0</v>
      </c>
      <c r="DD2119">
        <v>1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3">
      <c r="A2120" t="str">
        <f>"12/16/2021 14:53:44.291"</f>
        <v>12/16/2021 14:53:44.291</v>
      </c>
      <c r="C2120" t="str">
        <f t="shared" si="103"/>
        <v>FFDFD3C0</v>
      </c>
      <c r="D2120" t="s">
        <v>133</v>
      </c>
      <c r="E2120">
        <v>44</v>
      </c>
      <c r="H2120">
        <v>131</v>
      </c>
      <c r="I2120" t="s">
        <v>134</v>
      </c>
      <c r="J2120" t="s">
        <v>135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>"14:53:44.078"</f>
        <v>14:53:44.078</v>
      </c>
      <c r="T2120" t="str">
        <f>"14:53:43.678"</f>
        <v>14:53:43.678</v>
      </c>
      <c r="U2120" t="str">
        <f t="shared" si="105"/>
        <v>A0F928</v>
      </c>
      <c r="V2120">
        <v>0</v>
      </c>
      <c r="W2120">
        <v>0</v>
      </c>
      <c r="X2120">
        <v>2</v>
      </c>
      <c r="Z2120">
        <v>0</v>
      </c>
      <c r="AA2120">
        <v>9</v>
      </c>
      <c r="AB2120">
        <v>3</v>
      </c>
      <c r="AC2120">
        <v>0</v>
      </c>
      <c r="AD2120">
        <v>10</v>
      </c>
      <c r="AE2120">
        <v>0</v>
      </c>
      <c r="AF2120">
        <v>3</v>
      </c>
      <c r="AG2120">
        <v>2</v>
      </c>
      <c r="AH2120">
        <v>1</v>
      </c>
      <c r="AI2120" t="s">
        <v>1107</v>
      </c>
      <c r="AJ2120">
        <v>35.851779000000001</v>
      </c>
      <c r="AK2120" t="s">
        <v>1108</v>
      </c>
      <c r="AL2120">
        <v>-83.960909999999998</v>
      </c>
      <c r="AM2120">
        <v>25</v>
      </c>
      <c r="AN2120">
        <v>1150</v>
      </c>
      <c r="AO2120" t="s">
        <v>118</v>
      </c>
      <c r="AP2120">
        <v>65</v>
      </c>
      <c r="AQ2120">
        <v>-81</v>
      </c>
      <c r="AR2120">
        <v>-320</v>
      </c>
      <c r="AZ2120">
        <v>300</v>
      </c>
      <c r="BA2120">
        <v>1</v>
      </c>
      <c r="BB2120" t="str">
        <f t="shared" si="104"/>
        <v xml:space="preserve">N162AM  </v>
      </c>
      <c r="BC2120">
        <v>1</v>
      </c>
      <c r="BE2120">
        <v>0</v>
      </c>
      <c r="BF2120">
        <v>0</v>
      </c>
      <c r="BG2120">
        <v>0</v>
      </c>
      <c r="BH2120">
        <v>1400</v>
      </c>
      <c r="BI2120">
        <v>1</v>
      </c>
      <c r="BJ2120">
        <v>1</v>
      </c>
      <c r="BK2120">
        <v>1</v>
      </c>
      <c r="BL2120">
        <v>0</v>
      </c>
      <c r="BO2120">
        <v>0</v>
      </c>
      <c r="BP2120">
        <v>0</v>
      </c>
      <c r="BW2120" t="str">
        <f>"14:53:44.080"</f>
        <v>14:53:44.080</v>
      </c>
      <c r="CJ2120">
        <v>3</v>
      </c>
      <c r="CK2120">
        <v>2</v>
      </c>
      <c r="CL2120">
        <v>0</v>
      </c>
      <c r="CM2120">
        <v>2</v>
      </c>
      <c r="CN2120">
        <v>0</v>
      </c>
      <c r="CO2120">
        <v>4</v>
      </c>
      <c r="CP2120" t="s">
        <v>119</v>
      </c>
      <c r="CQ2120">
        <v>232</v>
      </c>
      <c r="CR2120">
        <v>1</v>
      </c>
      <c r="CW2120">
        <v>15831763</v>
      </c>
      <c r="CY2120">
        <v>1</v>
      </c>
      <c r="CZ2120">
        <v>0</v>
      </c>
      <c r="DA2120">
        <v>1</v>
      </c>
      <c r="DB2120">
        <v>0</v>
      </c>
      <c r="DC2120">
        <v>0</v>
      </c>
      <c r="DD2120">
        <v>1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3">
      <c r="A2121" t="str">
        <f>"12/16/2021 14:53:44.385"</f>
        <v>12/16/2021 14:53:44.385</v>
      </c>
      <c r="C2121" t="str">
        <f t="shared" si="103"/>
        <v>FFDFD3C0</v>
      </c>
      <c r="D2121" t="s">
        <v>113</v>
      </c>
      <c r="E2121">
        <v>8</v>
      </c>
      <c r="H2121">
        <v>176</v>
      </c>
      <c r="I2121" t="s">
        <v>114</v>
      </c>
      <c r="J2121" t="s">
        <v>115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>"14:53:44.078"</f>
        <v>14:53:44.078</v>
      </c>
      <c r="T2121" t="str">
        <f>"14:53:43.678"</f>
        <v>14:53:43.678</v>
      </c>
      <c r="U2121" t="str">
        <f t="shared" si="105"/>
        <v>A0F928</v>
      </c>
      <c r="V2121">
        <v>0</v>
      </c>
      <c r="W2121">
        <v>0</v>
      </c>
      <c r="X2121">
        <v>2</v>
      </c>
      <c r="Z2121">
        <v>0</v>
      </c>
      <c r="AA2121">
        <v>9</v>
      </c>
      <c r="AB2121">
        <v>3</v>
      </c>
      <c r="AC2121">
        <v>0</v>
      </c>
      <c r="AD2121">
        <v>10</v>
      </c>
      <c r="AE2121">
        <v>0</v>
      </c>
      <c r="AF2121">
        <v>3</v>
      </c>
      <c r="AG2121">
        <v>2</v>
      </c>
      <c r="AH2121">
        <v>1</v>
      </c>
      <c r="AI2121" t="s">
        <v>1107</v>
      </c>
      <c r="AJ2121">
        <v>35.851779000000001</v>
      </c>
      <c r="AK2121" t="s">
        <v>1108</v>
      </c>
      <c r="AL2121">
        <v>-83.960909999999998</v>
      </c>
      <c r="AM2121">
        <v>25</v>
      </c>
      <c r="AN2121">
        <v>1150</v>
      </c>
      <c r="AO2121" t="s">
        <v>118</v>
      </c>
      <c r="AP2121">
        <v>65</v>
      </c>
      <c r="AQ2121">
        <v>-81</v>
      </c>
      <c r="AR2121">
        <v>-320</v>
      </c>
      <c r="AZ2121">
        <v>300</v>
      </c>
      <c r="BA2121">
        <v>1</v>
      </c>
      <c r="BB2121" t="str">
        <f t="shared" si="104"/>
        <v xml:space="preserve">N162AM  </v>
      </c>
      <c r="BC2121">
        <v>1</v>
      </c>
      <c r="BE2121">
        <v>0</v>
      </c>
      <c r="BF2121">
        <v>0</v>
      </c>
      <c r="BG2121">
        <v>0</v>
      </c>
      <c r="BH2121">
        <v>1400</v>
      </c>
      <c r="BI2121">
        <v>1</v>
      </c>
      <c r="BJ2121">
        <v>1</v>
      </c>
      <c r="BK2121">
        <v>1</v>
      </c>
      <c r="BL2121">
        <v>0</v>
      </c>
      <c r="BO2121">
        <v>0</v>
      </c>
      <c r="BP2121">
        <v>0</v>
      </c>
      <c r="BW2121" t="str">
        <f>"14:53:44.080"</f>
        <v>14:53:44.080</v>
      </c>
      <c r="CJ2121">
        <v>3</v>
      </c>
      <c r="CK2121">
        <v>2</v>
      </c>
      <c r="CL2121">
        <v>0</v>
      </c>
      <c r="CM2121">
        <v>2</v>
      </c>
      <c r="CN2121">
        <v>0</v>
      </c>
      <c r="CO2121">
        <v>4</v>
      </c>
      <c r="CP2121" t="s">
        <v>119</v>
      </c>
      <c r="CQ2121">
        <v>232</v>
      </c>
      <c r="CR2121">
        <v>1</v>
      </c>
      <c r="CW2121">
        <v>15831763</v>
      </c>
      <c r="CY2121">
        <v>1</v>
      </c>
      <c r="CZ2121">
        <v>0</v>
      </c>
      <c r="DA2121">
        <v>1</v>
      </c>
      <c r="DB2121">
        <v>0</v>
      </c>
      <c r="DC2121">
        <v>0</v>
      </c>
      <c r="DD2121">
        <v>1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3">
      <c r="A2122" t="str">
        <f>"12/16/2021 14:53:45.290"</f>
        <v>12/16/2021 14:53:45.290</v>
      </c>
      <c r="C2122" t="str">
        <f t="shared" si="103"/>
        <v>FFDFD3C0</v>
      </c>
      <c r="D2122" t="s">
        <v>113</v>
      </c>
      <c r="E2122">
        <v>8</v>
      </c>
      <c r="H2122">
        <v>176</v>
      </c>
      <c r="I2122" t="s">
        <v>114</v>
      </c>
      <c r="J2122" t="s">
        <v>115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>"14:53:45.063"</f>
        <v>14:53:45.063</v>
      </c>
      <c r="T2122" t="str">
        <f>"14:53:44.163"</f>
        <v>14:53:44.163</v>
      </c>
      <c r="U2122" t="str">
        <f t="shared" si="105"/>
        <v>A0F928</v>
      </c>
      <c r="V2122">
        <v>0</v>
      </c>
      <c r="W2122">
        <v>0</v>
      </c>
      <c r="X2122">
        <v>2</v>
      </c>
      <c r="Z2122">
        <v>0</v>
      </c>
      <c r="AA2122">
        <v>9</v>
      </c>
      <c r="AB2122">
        <v>3</v>
      </c>
      <c r="AC2122">
        <v>0</v>
      </c>
      <c r="AD2122">
        <v>10</v>
      </c>
      <c r="AE2122">
        <v>0</v>
      </c>
      <c r="AF2122">
        <v>3</v>
      </c>
      <c r="AG2122">
        <v>2</v>
      </c>
      <c r="AH2122">
        <v>1</v>
      </c>
      <c r="AI2122" t="s">
        <v>1109</v>
      </c>
      <c r="AJ2122">
        <v>35.851413999999998</v>
      </c>
      <c r="AK2122" t="s">
        <v>1110</v>
      </c>
      <c r="AL2122">
        <v>-83.960566999999998</v>
      </c>
      <c r="AM2122">
        <v>25</v>
      </c>
      <c r="AN2122">
        <v>1150</v>
      </c>
      <c r="AO2122" t="s">
        <v>118</v>
      </c>
      <c r="AP2122">
        <v>65</v>
      </c>
      <c r="AQ2122">
        <v>-81</v>
      </c>
      <c r="AR2122">
        <v>-320</v>
      </c>
      <c r="AZ2122">
        <v>300</v>
      </c>
      <c r="BA2122">
        <v>1</v>
      </c>
      <c r="BB2122" t="str">
        <f t="shared" si="104"/>
        <v xml:space="preserve">N162AM  </v>
      </c>
      <c r="BC2122">
        <v>1</v>
      </c>
      <c r="BE2122">
        <v>0</v>
      </c>
      <c r="BF2122">
        <v>0</v>
      </c>
      <c r="BG2122">
        <v>0</v>
      </c>
      <c r="BH2122">
        <v>1400</v>
      </c>
      <c r="BI2122">
        <v>1</v>
      </c>
      <c r="BJ2122">
        <v>1</v>
      </c>
      <c r="BK2122">
        <v>1</v>
      </c>
      <c r="BL2122">
        <v>0</v>
      </c>
      <c r="BO2122">
        <v>0</v>
      </c>
      <c r="BP2122">
        <v>0</v>
      </c>
      <c r="BW2122" t="str">
        <f>"14:53:45.065"</f>
        <v>14:53:45.065</v>
      </c>
      <c r="CJ2122">
        <v>3</v>
      </c>
      <c r="CK2122">
        <v>2</v>
      </c>
      <c r="CL2122">
        <v>0</v>
      </c>
      <c r="CM2122">
        <v>2</v>
      </c>
      <c r="CN2122">
        <v>0</v>
      </c>
      <c r="CO2122">
        <v>5</v>
      </c>
      <c r="CP2122" t="s">
        <v>119</v>
      </c>
      <c r="CQ2122">
        <v>232</v>
      </c>
      <c r="CR2122">
        <v>1</v>
      </c>
      <c r="CW2122">
        <v>15833172</v>
      </c>
      <c r="CY2122">
        <v>1</v>
      </c>
      <c r="CZ2122">
        <v>0</v>
      </c>
      <c r="DA2122">
        <v>0</v>
      </c>
      <c r="DB2122">
        <v>0</v>
      </c>
      <c r="DC2122">
        <v>0</v>
      </c>
      <c r="DD2122">
        <v>1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3">
      <c r="A2123" t="str">
        <f>"12/16/2021 14:53:45.290"</f>
        <v>12/16/2021 14:53:45.290</v>
      </c>
      <c r="C2123" t="str">
        <f t="shared" si="103"/>
        <v>FFDFD3C0</v>
      </c>
      <c r="D2123" t="s">
        <v>124</v>
      </c>
      <c r="E2123">
        <v>10</v>
      </c>
      <c r="F2123">
        <v>1010</v>
      </c>
      <c r="G2123" t="s">
        <v>130</v>
      </c>
      <c r="J2123" t="s">
        <v>125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>"14:53:45.063"</f>
        <v>14:53:45.063</v>
      </c>
      <c r="T2123" t="str">
        <f>"14:53:44.163"</f>
        <v>14:53:44.163</v>
      </c>
      <c r="U2123" t="str">
        <f t="shared" si="105"/>
        <v>A0F928</v>
      </c>
      <c r="V2123">
        <v>0</v>
      </c>
      <c r="W2123">
        <v>0</v>
      </c>
      <c r="X2123">
        <v>2</v>
      </c>
      <c r="Z2123">
        <v>0</v>
      </c>
      <c r="AA2123">
        <v>9</v>
      </c>
      <c r="AB2123">
        <v>3</v>
      </c>
      <c r="AC2123">
        <v>0</v>
      </c>
      <c r="AD2123">
        <v>10</v>
      </c>
      <c r="AE2123">
        <v>0</v>
      </c>
      <c r="AF2123">
        <v>0</v>
      </c>
      <c r="AG2123">
        <v>2</v>
      </c>
      <c r="AH2123">
        <v>1</v>
      </c>
      <c r="AI2123" t="s">
        <v>1109</v>
      </c>
      <c r="AJ2123">
        <v>35.851413999999998</v>
      </c>
      <c r="AK2123" t="s">
        <v>1110</v>
      </c>
      <c r="AL2123">
        <v>-83.960566999999998</v>
      </c>
      <c r="AM2123">
        <v>25</v>
      </c>
      <c r="AN2123">
        <v>1150</v>
      </c>
      <c r="AO2123" t="s">
        <v>118</v>
      </c>
      <c r="AP2123">
        <v>65</v>
      </c>
      <c r="AQ2123">
        <v>-81</v>
      </c>
      <c r="AR2123">
        <v>-320</v>
      </c>
      <c r="AZ2123">
        <v>300</v>
      </c>
      <c r="BA2123">
        <v>1</v>
      </c>
      <c r="BB2123" t="str">
        <f t="shared" si="104"/>
        <v xml:space="preserve">N162AM  </v>
      </c>
      <c r="BC2123">
        <v>1</v>
      </c>
      <c r="BE2123">
        <v>0</v>
      </c>
      <c r="BF2123">
        <v>0</v>
      </c>
      <c r="BG2123">
        <v>0</v>
      </c>
      <c r="BH2123">
        <v>1400</v>
      </c>
      <c r="BI2123">
        <v>1</v>
      </c>
      <c r="BJ2123">
        <v>1</v>
      </c>
      <c r="BK2123">
        <v>1</v>
      </c>
      <c r="BL2123">
        <v>0</v>
      </c>
      <c r="BO2123">
        <v>0</v>
      </c>
      <c r="BP2123">
        <v>0</v>
      </c>
      <c r="BW2123" t="str">
        <f>"14:53:45.065"</f>
        <v>14:53:45.065</v>
      </c>
      <c r="CJ2123">
        <v>2</v>
      </c>
      <c r="CK2123">
        <v>2</v>
      </c>
      <c r="CL2123">
        <v>0</v>
      </c>
      <c r="CM2123">
        <v>2</v>
      </c>
      <c r="CN2123">
        <v>0</v>
      </c>
      <c r="CO2123">
        <v>5</v>
      </c>
      <c r="CP2123" t="s">
        <v>119</v>
      </c>
      <c r="CQ2123">
        <v>232</v>
      </c>
      <c r="CR2123">
        <v>1</v>
      </c>
      <c r="CW2123">
        <v>15833172</v>
      </c>
      <c r="CY2123">
        <v>1</v>
      </c>
      <c r="CZ2123">
        <v>0</v>
      </c>
      <c r="DA2123">
        <v>1</v>
      </c>
      <c r="DB2123">
        <v>0</v>
      </c>
      <c r="DC2123">
        <v>0</v>
      </c>
      <c r="DD2123">
        <v>1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3">
      <c r="A2124" t="str">
        <f>"12/16/2021 14:53:45.290"</f>
        <v>12/16/2021 14:53:45.290</v>
      </c>
      <c r="C2124" t="str">
        <f t="shared" si="103"/>
        <v>FFDFD3C0</v>
      </c>
      <c r="D2124" t="s">
        <v>124</v>
      </c>
      <c r="E2124">
        <v>5</v>
      </c>
      <c r="F2124">
        <v>1005</v>
      </c>
      <c r="G2124" t="s">
        <v>114</v>
      </c>
      <c r="J2124" t="s">
        <v>125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>"14:53:45.063"</f>
        <v>14:53:45.063</v>
      </c>
      <c r="T2124" t="str">
        <f>"14:53:44.163"</f>
        <v>14:53:44.163</v>
      </c>
      <c r="U2124" t="str">
        <f t="shared" si="105"/>
        <v>A0F928</v>
      </c>
      <c r="V2124">
        <v>0</v>
      </c>
      <c r="W2124">
        <v>0</v>
      </c>
      <c r="X2124">
        <v>2</v>
      </c>
      <c r="Z2124">
        <v>0</v>
      </c>
      <c r="AA2124">
        <v>9</v>
      </c>
      <c r="AB2124">
        <v>3</v>
      </c>
      <c r="AC2124">
        <v>0</v>
      </c>
      <c r="AD2124">
        <v>10</v>
      </c>
      <c r="AE2124">
        <v>0</v>
      </c>
      <c r="AF2124">
        <v>3</v>
      </c>
      <c r="AG2124">
        <v>2</v>
      </c>
      <c r="AH2124">
        <v>1</v>
      </c>
      <c r="AI2124" t="s">
        <v>1109</v>
      </c>
      <c r="AJ2124">
        <v>35.851413999999998</v>
      </c>
      <c r="AK2124" t="s">
        <v>1110</v>
      </c>
      <c r="AL2124">
        <v>-83.960566999999998</v>
      </c>
      <c r="AM2124">
        <v>25</v>
      </c>
      <c r="AN2124">
        <v>1150</v>
      </c>
      <c r="AO2124" t="s">
        <v>118</v>
      </c>
      <c r="AP2124">
        <v>65</v>
      </c>
      <c r="AQ2124">
        <v>-81</v>
      </c>
      <c r="AR2124">
        <v>-320</v>
      </c>
      <c r="AZ2124">
        <v>300</v>
      </c>
      <c r="BA2124">
        <v>1</v>
      </c>
      <c r="BB2124" t="str">
        <f t="shared" si="104"/>
        <v xml:space="preserve">N162AM  </v>
      </c>
      <c r="BC2124">
        <v>1</v>
      </c>
      <c r="BE2124">
        <v>0</v>
      </c>
      <c r="BF2124">
        <v>0</v>
      </c>
      <c r="BG2124">
        <v>0</v>
      </c>
      <c r="BH2124">
        <v>1400</v>
      </c>
      <c r="BI2124">
        <v>1</v>
      </c>
      <c r="BJ2124">
        <v>1</v>
      </c>
      <c r="BK2124">
        <v>1</v>
      </c>
      <c r="BL2124">
        <v>0</v>
      </c>
      <c r="BO2124">
        <v>0</v>
      </c>
      <c r="BP2124">
        <v>0</v>
      </c>
      <c r="BW2124" t="str">
        <f>"14:53:45.065"</f>
        <v>14:53:45.065</v>
      </c>
      <c r="CJ2124">
        <v>3</v>
      </c>
      <c r="CK2124">
        <v>2</v>
      </c>
      <c r="CL2124">
        <v>0</v>
      </c>
      <c r="CM2124">
        <v>2</v>
      </c>
      <c r="CN2124">
        <v>0</v>
      </c>
      <c r="CO2124">
        <v>5</v>
      </c>
      <c r="CP2124" t="s">
        <v>119</v>
      </c>
      <c r="CQ2124">
        <v>232</v>
      </c>
      <c r="CR2124">
        <v>1</v>
      </c>
      <c r="CW2124">
        <v>15833172</v>
      </c>
      <c r="CY2124">
        <v>1</v>
      </c>
      <c r="CZ2124">
        <v>0</v>
      </c>
      <c r="DA2124">
        <v>1</v>
      </c>
      <c r="DB2124">
        <v>0</v>
      </c>
      <c r="DC2124">
        <v>0</v>
      </c>
      <c r="DD2124">
        <v>1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3">
      <c r="A2125" t="str">
        <f>"12/16/2021 14:53:45.290"</f>
        <v>12/16/2021 14:53:45.290</v>
      </c>
      <c r="C2125" t="str">
        <f t="shared" si="103"/>
        <v>FFDFD3C0</v>
      </c>
      <c r="D2125" t="s">
        <v>133</v>
      </c>
      <c r="E2125">
        <v>44</v>
      </c>
      <c r="H2125">
        <v>131</v>
      </c>
      <c r="I2125" t="s">
        <v>134</v>
      </c>
      <c r="J2125" t="s">
        <v>135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>"14:53:45.063"</f>
        <v>14:53:45.063</v>
      </c>
      <c r="T2125" t="str">
        <f>"14:53:44.163"</f>
        <v>14:53:44.163</v>
      </c>
      <c r="U2125" t="str">
        <f t="shared" si="105"/>
        <v>A0F928</v>
      </c>
      <c r="V2125">
        <v>0</v>
      </c>
      <c r="W2125">
        <v>0</v>
      </c>
      <c r="X2125">
        <v>2</v>
      </c>
      <c r="Z2125">
        <v>0</v>
      </c>
      <c r="AA2125">
        <v>9</v>
      </c>
      <c r="AB2125">
        <v>3</v>
      </c>
      <c r="AC2125">
        <v>0</v>
      </c>
      <c r="AD2125">
        <v>10</v>
      </c>
      <c r="AE2125">
        <v>0</v>
      </c>
      <c r="AF2125">
        <v>3</v>
      </c>
      <c r="AG2125">
        <v>2</v>
      </c>
      <c r="AH2125">
        <v>1</v>
      </c>
      <c r="AI2125" t="s">
        <v>1109</v>
      </c>
      <c r="AJ2125">
        <v>35.851413999999998</v>
      </c>
      <c r="AK2125" t="s">
        <v>1110</v>
      </c>
      <c r="AL2125">
        <v>-83.960566999999998</v>
      </c>
      <c r="AM2125">
        <v>25</v>
      </c>
      <c r="AN2125">
        <v>1150</v>
      </c>
      <c r="AO2125" t="s">
        <v>118</v>
      </c>
      <c r="AP2125">
        <v>65</v>
      </c>
      <c r="AQ2125">
        <v>-81</v>
      </c>
      <c r="AR2125">
        <v>-320</v>
      </c>
      <c r="AZ2125">
        <v>300</v>
      </c>
      <c r="BA2125">
        <v>1</v>
      </c>
      <c r="BB2125" t="str">
        <f t="shared" si="104"/>
        <v xml:space="preserve">N162AM  </v>
      </c>
      <c r="BC2125">
        <v>1</v>
      </c>
      <c r="BE2125">
        <v>0</v>
      </c>
      <c r="BF2125">
        <v>0</v>
      </c>
      <c r="BG2125">
        <v>0</v>
      </c>
      <c r="BH2125">
        <v>1400</v>
      </c>
      <c r="BI2125">
        <v>1</v>
      </c>
      <c r="BJ2125">
        <v>1</v>
      </c>
      <c r="BK2125">
        <v>1</v>
      </c>
      <c r="BL2125">
        <v>0</v>
      </c>
      <c r="BO2125">
        <v>0</v>
      </c>
      <c r="BP2125">
        <v>0</v>
      </c>
      <c r="BW2125" t="str">
        <f>"14:53:45.065"</f>
        <v>14:53:45.065</v>
      </c>
      <c r="CJ2125">
        <v>3</v>
      </c>
      <c r="CK2125">
        <v>2</v>
      </c>
      <c r="CL2125">
        <v>0</v>
      </c>
      <c r="CM2125">
        <v>2</v>
      </c>
      <c r="CN2125">
        <v>0</v>
      </c>
      <c r="CO2125">
        <v>5</v>
      </c>
      <c r="CP2125" t="s">
        <v>119</v>
      </c>
      <c r="CQ2125">
        <v>232</v>
      </c>
      <c r="CR2125">
        <v>1</v>
      </c>
      <c r="CW2125">
        <v>15833172</v>
      </c>
      <c r="CY2125">
        <v>1</v>
      </c>
      <c r="CZ2125">
        <v>0</v>
      </c>
      <c r="DA2125">
        <v>1</v>
      </c>
      <c r="DB2125">
        <v>0</v>
      </c>
      <c r="DC2125">
        <v>0</v>
      </c>
      <c r="DD2125">
        <v>1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3">
      <c r="A2126" t="str">
        <f>"12/16/2021 14:53:46.196"</f>
        <v>12/16/2021 14:53:46.196</v>
      </c>
      <c r="C2126" t="str">
        <f t="shared" si="103"/>
        <v>FFDFD3C0</v>
      </c>
      <c r="D2126" t="s">
        <v>133</v>
      </c>
      <c r="E2126">
        <v>44</v>
      </c>
      <c r="H2126">
        <v>131</v>
      </c>
      <c r="I2126" t="s">
        <v>134</v>
      </c>
      <c r="J2126" t="s">
        <v>135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>"14:53:45.938"</f>
        <v>14:53:45.938</v>
      </c>
      <c r="T2126" t="str">
        <f>"14:53:45.538"</f>
        <v>14:53:45.538</v>
      </c>
      <c r="U2126" t="str">
        <f t="shared" si="105"/>
        <v>A0F928</v>
      </c>
      <c r="V2126">
        <v>0</v>
      </c>
      <c r="W2126">
        <v>0</v>
      </c>
      <c r="X2126">
        <v>2</v>
      </c>
      <c r="Z2126">
        <v>0</v>
      </c>
      <c r="AA2126">
        <v>9</v>
      </c>
      <c r="AB2126">
        <v>3</v>
      </c>
      <c r="AC2126">
        <v>0</v>
      </c>
      <c r="AD2126">
        <v>10</v>
      </c>
      <c r="AE2126">
        <v>0</v>
      </c>
      <c r="AF2126">
        <v>3</v>
      </c>
      <c r="AG2126">
        <v>2</v>
      </c>
      <c r="AH2126">
        <v>1</v>
      </c>
      <c r="AI2126" t="s">
        <v>1111</v>
      </c>
      <c r="AJ2126">
        <v>35.851134999999999</v>
      </c>
      <c r="AK2126" t="s">
        <v>1112</v>
      </c>
      <c r="AL2126">
        <v>-83.960266000000004</v>
      </c>
      <c r="AM2126">
        <v>25</v>
      </c>
      <c r="AN2126">
        <v>1150</v>
      </c>
      <c r="AO2126" t="s">
        <v>118</v>
      </c>
      <c r="AP2126">
        <v>64</v>
      </c>
      <c r="AQ2126">
        <v>-80</v>
      </c>
      <c r="AR2126">
        <v>-448</v>
      </c>
      <c r="AZ2126">
        <v>300</v>
      </c>
      <c r="BA2126">
        <v>1</v>
      </c>
      <c r="BB2126" t="str">
        <f t="shared" si="104"/>
        <v xml:space="preserve">N162AM  </v>
      </c>
      <c r="BC2126">
        <v>1</v>
      </c>
      <c r="BE2126">
        <v>0</v>
      </c>
      <c r="BF2126">
        <v>0</v>
      </c>
      <c r="BG2126">
        <v>0</v>
      </c>
      <c r="BH2126">
        <v>1400</v>
      </c>
      <c r="BI2126">
        <v>1</v>
      </c>
      <c r="BJ2126">
        <v>1</v>
      </c>
      <c r="BK2126">
        <v>1</v>
      </c>
      <c r="BL2126">
        <v>0</v>
      </c>
      <c r="BO2126">
        <v>0</v>
      </c>
      <c r="BP2126">
        <v>0</v>
      </c>
      <c r="BW2126" t="str">
        <f>"14:53:45.938"</f>
        <v>14:53:45.938</v>
      </c>
      <c r="CJ2126">
        <v>3</v>
      </c>
      <c r="CK2126">
        <v>2</v>
      </c>
      <c r="CL2126">
        <v>0</v>
      </c>
      <c r="CM2126">
        <v>2</v>
      </c>
      <c r="CN2126">
        <v>0</v>
      </c>
      <c r="CO2126">
        <v>3</v>
      </c>
      <c r="CP2126" t="s">
        <v>119</v>
      </c>
      <c r="CQ2126">
        <v>232</v>
      </c>
      <c r="CR2126">
        <v>1</v>
      </c>
      <c r="CW2126">
        <v>15834541</v>
      </c>
      <c r="CY2126">
        <v>1</v>
      </c>
      <c r="CZ2126">
        <v>0</v>
      </c>
      <c r="DA2126">
        <v>0</v>
      </c>
      <c r="DB2126">
        <v>0</v>
      </c>
      <c r="DC2126">
        <v>0</v>
      </c>
      <c r="DD2126">
        <v>1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3">
      <c r="A2127" t="str">
        <f>"12/16/2021 14:53:46.196"</f>
        <v>12/16/2021 14:53:46.196</v>
      </c>
      <c r="C2127" t="str">
        <f t="shared" si="103"/>
        <v>FFDFD3C0</v>
      </c>
      <c r="D2127" t="s">
        <v>124</v>
      </c>
      <c r="E2127">
        <v>10</v>
      </c>
      <c r="F2127">
        <v>1010</v>
      </c>
      <c r="G2127" t="s">
        <v>130</v>
      </c>
      <c r="J2127" t="s">
        <v>125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>"14:53:45.938"</f>
        <v>14:53:45.938</v>
      </c>
      <c r="T2127" t="str">
        <f>"14:53:45.538"</f>
        <v>14:53:45.538</v>
      </c>
      <c r="U2127" t="str">
        <f t="shared" si="105"/>
        <v>A0F928</v>
      </c>
      <c r="V2127">
        <v>0</v>
      </c>
      <c r="W2127">
        <v>0</v>
      </c>
      <c r="X2127">
        <v>2</v>
      </c>
      <c r="Z2127">
        <v>0</v>
      </c>
      <c r="AA2127">
        <v>9</v>
      </c>
      <c r="AB2127">
        <v>3</v>
      </c>
      <c r="AC2127">
        <v>0</v>
      </c>
      <c r="AD2127">
        <v>10</v>
      </c>
      <c r="AE2127">
        <v>0</v>
      </c>
      <c r="AF2127">
        <v>0</v>
      </c>
      <c r="AG2127">
        <v>2</v>
      </c>
      <c r="AH2127">
        <v>1</v>
      </c>
      <c r="AI2127" t="s">
        <v>1111</v>
      </c>
      <c r="AJ2127">
        <v>35.851134999999999</v>
      </c>
      <c r="AK2127" t="s">
        <v>1112</v>
      </c>
      <c r="AL2127">
        <v>-83.960266000000004</v>
      </c>
      <c r="AM2127">
        <v>25</v>
      </c>
      <c r="AN2127">
        <v>1150</v>
      </c>
      <c r="AO2127" t="s">
        <v>118</v>
      </c>
      <c r="AP2127">
        <v>64</v>
      </c>
      <c r="AQ2127">
        <v>-80</v>
      </c>
      <c r="AR2127">
        <v>-448</v>
      </c>
      <c r="AZ2127">
        <v>300</v>
      </c>
      <c r="BA2127">
        <v>1</v>
      </c>
      <c r="BB2127" t="str">
        <f t="shared" si="104"/>
        <v xml:space="preserve">N162AM  </v>
      </c>
      <c r="BC2127">
        <v>1</v>
      </c>
      <c r="BE2127">
        <v>0</v>
      </c>
      <c r="BF2127">
        <v>0</v>
      </c>
      <c r="BG2127">
        <v>0</v>
      </c>
      <c r="BH2127">
        <v>1400</v>
      </c>
      <c r="BI2127">
        <v>1</v>
      </c>
      <c r="BJ2127">
        <v>1</v>
      </c>
      <c r="BK2127">
        <v>1</v>
      </c>
      <c r="BL2127">
        <v>0</v>
      </c>
      <c r="BO2127">
        <v>0</v>
      </c>
      <c r="BP2127">
        <v>0</v>
      </c>
      <c r="BW2127" t="str">
        <f>"14:53:45.938"</f>
        <v>14:53:45.938</v>
      </c>
      <c r="CJ2127">
        <v>2</v>
      </c>
      <c r="CK2127">
        <v>2</v>
      </c>
      <c r="CL2127">
        <v>0</v>
      </c>
      <c r="CM2127">
        <v>2</v>
      </c>
      <c r="CN2127">
        <v>0</v>
      </c>
      <c r="CO2127">
        <v>3</v>
      </c>
      <c r="CP2127" t="s">
        <v>119</v>
      </c>
      <c r="CQ2127">
        <v>232</v>
      </c>
      <c r="CR2127">
        <v>1</v>
      </c>
      <c r="CW2127">
        <v>15834541</v>
      </c>
      <c r="CY2127">
        <v>1</v>
      </c>
      <c r="CZ2127">
        <v>0</v>
      </c>
      <c r="DA2127">
        <v>1</v>
      </c>
      <c r="DB2127">
        <v>0</v>
      </c>
      <c r="DC2127">
        <v>0</v>
      </c>
      <c r="DD2127">
        <v>1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3">
      <c r="A2128" t="str">
        <f>"12/16/2021 14:53:46.196"</f>
        <v>12/16/2021 14:53:46.196</v>
      </c>
      <c r="C2128" t="str">
        <f t="shared" si="103"/>
        <v>FFDFD3C0</v>
      </c>
      <c r="D2128" t="s">
        <v>113</v>
      </c>
      <c r="E2128">
        <v>8</v>
      </c>
      <c r="H2128">
        <v>176</v>
      </c>
      <c r="I2128" t="s">
        <v>114</v>
      </c>
      <c r="J2128" t="s">
        <v>115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>"14:53:45.938"</f>
        <v>14:53:45.938</v>
      </c>
      <c r="T2128" t="str">
        <f>"14:53:45.538"</f>
        <v>14:53:45.538</v>
      </c>
      <c r="U2128" t="str">
        <f t="shared" si="105"/>
        <v>A0F928</v>
      </c>
      <c r="V2128">
        <v>0</v>
      </c>
      <c r="W2128">
        <v>0</v>
      </c>
      <c r="X2128">
        <v>2</v>
      </c>
      <c r="Z2128">
        <v>0</v>
      </c>
      <c r="AA2128">
        <v>9</v>
      </c>
      <c r="AB2128">
        <v>3</v>
      </c>
      <c r="AC2128">
        <v>0</v>
      </c>
      <c r="AD2128">
        <v>10</v>
      </c>
      <c r="AE2128">
        <v>0</v>
      </c>
      <c r="AF2128">
        <v>3</v>
      </c>
      <c r="AG2128">
        <v>2</v>
      </c>
      <c r="AH2128">
        <v>1</v>
      </c>
      <c r="AI2128" t="s">
        <v>1111</v>
      </c>
      <c r="AJ2128">
        <v>35.851134999999999</v>
      </c>
      <c r="AK2128" t="s">
        <v>1112</v>
      </c>
      <c r="AL2128">
        <v>-83.960266000000004</v>
      </c>
      <c r="AM2128">
        <v>25</v>
      </c>
      <c r="AN2128">
        <v>1150</v>
      </c>
      <c r="AO2128" t="s">
        <v>118</v>
      </c>
      <c r="AP2128">
        <v>64</v>
      </c>
      <c r="AQ2128">
        <v>-80</v>
      </c>
      <c r="AR2128">
        <v>-448</v>
      </c>
      <c r="AZ2128">
        <v>300</v>
      </c>
      <c r="BA2128">
        <v>1</v>
      </c>
      <c r="BB2128" t="str">
        <f t="shared" si="104"/>
        <v xml:space="preserve">N162AM  </v>
      </c>
      <c r="BC2128">
        <v>1</v>
      </c>
      <c r="BE2128">
        <v>0</v>
      </c>
      <c r="BF2128">
        <v>0</v>
      </c>
      <c r="BG2128">
        <v>0</v>
      </c>
      <c r="BH2128">
        <v>1400</v>
      </c>
      <c r="BI2128">
        <v>1</v>
      </c>
      <c r="BJ2128">
        <v>1</v>
      </c>
      <c r="BK2128">
        <v>1</v>
      </c>
      <c r="BL2128">
        <v>0</v>
      </c>
      <c r="BO2128">
        <v>0</v>
      </c>
      <c r="BP2128">
        <v>0</v>
      </c>
      <c r="BW2128" t="str">
        <f>"14:53:45.938"</f>
        <v>14:53:45.938</v>
      </c>
      <c r="CJ2128">
        <v>3</v>
      </c>
      <c r="CK2128">
        <v>2</v>
      </c>
      <c r="CL2128">
        <v>0</v>
      </c>
      <c r="CM2128">
        <v>2</v>
      </c>
      <c r="CN2128">
        <v>0</v>
      </c>
      <c r="CO2128">
        <v>3</v>
      </c>
      <c r="CP2128" t="s">
        <v>119</v>
      </c>
      <c r="CQ2128">
        <v>232</v>
      </c>
      <c r="CR2128">
        <v>1</v>
      </c>
      <c r="CW2128">
        <v>15834541</v>
      </c>
      <c r="CY2128">
        <v>1</v>
      </c>
      <c r="CZ2128">
        <v>0</v>
      </c>
      <c r="DA2128">
        <v>1</v>
      </c>
      <c r="DB2128">
        <v>0</v>
      </c>
      <c r="DC2128">
        <v>0</v>
      </c>
      <c r="DD2128">
        <v>1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3">
      <c r="A2129" t="str">
        <f>"12/16/2021 14:53:46.196"</f>
        <v>12/16/2021 14:53:46.196</v>
      </c>
      <c r="C2129" t="str">
        <f t="shared" si="103"/>
        <v>FFDFD3C0</v>
      </c>
      <c r="D2129" t="s">
        <v>124</v>
      </c>
      <c r="E2129">
        <v>5</v>
      </c>
      <c r="F2129">
        <v>1005</v>
      </c>
      <c r="G2129" t="s">
        <v>114</v>
      </c>
      <c r="J2129" t="s">
        <v>125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>"14:53:45.938"</f>
        <v>14:53:45.938</v>
      </c>
      <c r="T2129" t="str">
        <f>"14:53:45.538"</f>
        <v>14:53:45.538</v>
      </c>
      <c r="U2129" t="str">
        <f t="shared" si="105"/>
        <v>A0F928</v>
      </c>
      <c r="V2129">
        <v>0</v>
      </c>
      <c r="W2129">
        <v>0</v>
      </c>
      <c r="X2129">
        <v>2</v>
      </c>
      <c r="Z2129">
        <v>0</v>
      </c>
      <c r="AA2129">
        <v>9</v>
      </c>
      <c r="AB2129">
        <v>3</v>
      </c>
      <c r="AC2129">
        <v>0</v>
      </c>
      <c r="AD2129">
        <v>10</v>
      </c>
      <c r="AE2129">
        <v>0</v>
      </c>
      <c r="AF2129">
        <v>3</v>
      </c>
      <c r="AG2129">
        <v>2</v>
      </c>
      <c r="AH2129">
        <v>1</v>
      </c>
      <c r="AI2129" t="s">
        <v>1111</v>
      </c>
      <c r="AJ2129">
        <v>35.851134999999999</v>
      </c>
      <c r="AK2129" t="s">
        <v>1112</v>
      </c>
      <c r="AL2129">
        <v>-83.960266000000004</v>
      </c>
      <c r="AM2129">
        <v>25</v>
      </c>
      <c r="AN2129">
        <v>1150</v>
      </c>
      <c r="AO2129" t="s">
        <v>118</v>
      </c>
      <c r="AP2129">
        <v>64</v>
      </c>
      <c r="AQ2129">
        <v>-80</v>
      </c>
      <c r="AR2129">
        <v>-448</v>
      </c>
      <c r="AZ2129">
        <v>300</v>
      </c>
      <c r="BA2129">
        <v>1</v>
      </c>
      <c r="BB2129" t="str">
        <f t="shared" si="104"/>
        <v xml:space="preserve">N162AM  </v>
      </c>
      <c r="BC2129">
        <v>1</v>
      </c>
      <c r="BE2129">
        <v>0</v>
      </c>
      <c r="BF2129">
        <v>0</v>
      </c>
      <c r="BG2129">
        <v>0</v>
      </c>
      <c r="BH2129">
        <v>1400</v>
      </c>
      <c r="BI2129">
        <v>1</v>
      </c>
      <c r="BJ2129">
        <v>1</v>
      </c>
      <c r="BK2129">
        <v>1</v>
      </c>
      <c r="BL2129">
        <v>0</v>
      </c>
      <c r="BO2129">
        <v>0</v>
      </c>
      <c r="BP2129">
        <v>0</v>
      </c>
      <c r="BW2129" t="str">
        <f>"14:53:45.938"</f>
        <v>14:53:45.938</v>
      </c>
      <c r="CJ2129">
        <v>3</v>
      </c>
      <c r="CK2129">
        <v>2</v>
      </c>
      <c r="CL2129">
        <v>0</v>
      </c>
      <c r="CM2129">
        <v>2</v>
      </c>
      <c r="CN2129">
        <v>0</v>
      </c>
      <c r="CO2129">
        <v>3</v>
      </c>
      <c r="CP2129" t="s">
        <v>119</v>
      </c>
      <c r="CQ2129">
        <v>232</v>
      </c>
      <c r="CR2129">
        <v>1</v>
      </c>
      <c r="CW2129">
        <v>15834541</v>
      </c>
      <c r="CY2129">
        <v>1</v>
      </c>
      <c r="CZ2129">
        <v>0</v>
      </c>
      <c r="DA2129">
        <v>1</v>
      </c>
      <c r="DB2129">
        <v>0</v>
      </c>
      <c r="DC2129">
        <v>0</v>
      </c>
      <c r="DD2129">
        <v>1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3">
      <c r="A2130" t="str">
        <f>"12/16/2021 14:53:47.213"</f>
        <v>12/16/2021 14:53:47.213</v>
      </c>
      <c r="C2130" t="str">
        <f t="shared" si="103"/>
        <v>FFDFD3C0</v>
      </c>
      <c r="D2130" t="s">
        <v>133</v>
      </c>
      <c r="E2130">
        <v>44</v>
      </c>
      <c r="H2130">
        <v>131</v>
      </c>
      <c r="I2130" t="s">
        <v>134</v>
      </c>
      <c r="J2130" t="s">
        <v>135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>"14:53:47.000"</f>
        <v>14:53:47.000</v>
      </c>
      <c r="T2130" t="str">
        <f>"14:53:46.500"</f>
        <v>14:53:46.500</v>
      </c>
      <c r="U2130" t="str">
        <f t="shared" si="105"/>
        <v>A0F928</v>
      </c>
      <c r="V2130">
        <v>0</v>
      </c>
      <c r="W2130">
        <v>0</v>
      </c>
      <c r="X2130">
        <v>2</v>
      </c>
      <c r="Z2130">
        <v>0</v>
      </c>
      <c r="AA2130">
        <v>9</v>
      </c>
      <c r="AB2130">
        <v>3</v>
      </c>
      <c r="AC2130">
        <v>0</v>
      </c>
      <c r="AD2130">
        <v>10</v>
      </c>
      <c r="AE2130">
        <v>0</v>
      </c>
      <c r="AF2130">
        <v>3</v>
      </c>
      <c r="AG2130">
        <v>2</v>
      </c>
      <c r="AH2130">
        <v>1</v>
      </c>
      <c r="AI2130" t="s">
        <v>1113</v>
      </c>
      <c r="AJ2130">
        <v>35.850727999999997</v>
      </c>
      <c r="AK2130" t="s">
        <v>1114</v>
      </c>
      <c r="AL2130">
        <v>-83.959857999999997</v>
      </c>
      <c r="AM2130">
        <v>25</v>
      </c>
      <c r="AN2130">
        <v>1125</v>
      </c>
      <c r="AO2130" t="s">
        <v>118</v>
      </c>
      <c r="AP2130">
        <v>64</v>
      </c>
      <c r="AQ2130">
        <v>-80</v>
      </c>
      <c r="AR2130">
        <v>-448</v>
      </c>
      <c r="AZ2130">
        <v>300</v>
      </c>
      <c r="BA2130">
        <v>1</v>
      </c>
      <c r="BB2130" t="str">
        <f t="shared" si="104"/>
        <v xml:space="preserve">N162AM  </v>
      </c>
      <c r="BC2130">
        <v>1</v>
      </c>
      <c r="BE2130">
        <v>0</v>
      </c>
      <c r="BF2130">
        <v>0</v>
      </c>
      <c r="BG2130">
        <v>0</v>
      </c>
      <c r="BH2130">
        <v>1400</v>
      </c>
      <c r="BI2130">
        <v>1</v>
      </c>
      <c r="BJ2130">
        <v>1</v>
      </c>
      <c r="BK2130">
        <v>1</v>
      </c>
      <c r="BL2130">
        <v>0</v>
      </c>
      <c r="BO2130">
        <v>0</v>
      </c>
      <c r="BP2130">
        <v>0</v>
      </c>
      <c r="BW2130" t="str">
        <f>"14:53:47.005"</f>
        <v>14:53:47.005</v>
      </c>
      <c r="CJ2130">
        <v>3</v>
      </c>
      <c r="CK2130">
        <v>2</v>
      </c>
      <c r="CL2130">
        <v>0</v>
      </c>
      <c r="CM2130">
        <v>2</v>
      </c>
      <c r="CN2130">
        <v>0</v>
      </c>
      <c r="CO2130">
        <v>3</v>
      </c>
      <c r="CP2130" t="s">
        <v>119</v>
      </c>
      <c r="CQ2130">
        <v>232</v>
      </c>
      <c r="CR2130">
        <v>1</v>
      </c>
      <c r="CW2130">
        <v>15836119</v>
      </c>
      <c r="CY2130">
        <v>1</v>
      </c>
      <c r="CZ2130">
        <v>0</v>
      </c>
      <c r="DA2130">
        <v>0</v>
      </c>
      <c r="DB2130">
        <v>0</v>
      </c>
      <c r="DC2130">
        <v>0</v>
      </c>
      <c r="DD2130">
        <v>1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3">
      <c r="A2131" t="str">
        <f>"12/16/2021 14:53:47.244"</f>
        <v>12/16/2021 14:53:47.244</v>
      </c>
      <c r="C2131" t="str">
        <f t="shared" si="103"/>
        <v>FFDFD3C0</v>
      </c>
      <c r="D2131" t="s">
        <v>124</v>
      </c>
      <c r="E2131">
        <v>10</v>
      </c>
      <c r="F2131">
        <v>1010</v>
      </c>
      <c r="G2131" t="s">
        <v>130</v>
      </c>
      <c r="J2131" t="s">
        <v>125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>"14:53:47.000"</f>
        <v>14:53:47.000</v>
      </c>
      <c r="T2131" t="str">
        <f>"14:53:46.500"</f>
        <v>14:53:46.500</v>
      </c>
      <c r="U2131" t="str">
        <f t="shared" si="105"/>
        <v>A0F928</v>
      </c>
      <c r="V2131">
        <v>0</v>
      </c>
      <c r="W2131">
        <v>0</v>
      </c>
      <c r="X2131">
        <v>2</v>
      </c>
      <c r="Z2131">
        <v>0</v>
      </c>
      <c r="AA2131">
        <v>9</v>
      </c>
      <c r="AB2131">
        <v>3</v>
      </c>
      <c r="AC2131">
        <v>0</v>
      </c>
      <c r="AD2131">
        <v>10</v>
      </c>
      <c r="AE2131">
        <v>0</v>
      </c>
      <c r="AF2131">
        <v>0</v>
      </c>
      <c r="AG2131">
        <v>2</v>
      </c>
      <c r="AH2131">
        <v>1</v>
      </c>
      <c r="AI2131" t="s">
        <v>1113</v>
      </c>
      <c r="AJ2131">
        <v>35.850727999999997</v>
      </c>
      <c r="AK2131" t="s">
        <v>1114</v>
      </c>
      <c r="AL2131">
        <v>-83.959857999999997</v>
      </c>
      <c r="AM2131">
        <v>25</v>
      </c>
      <c r="AN2131">
        <v>1125</v>
      </c>
      <c r="AO2131" t="s">
        <v>118</v>
      </c>
      <c r="AP2131">
        <v>64</v>
      </c>
      <c r="AQ2131">
        <v>-80</v>
      </c>
      <c r="AR2131">
        <v>-448</v>
      </c>
      <c r="AZ2131">
        <v>300</v>
      </c>
      <c r="BA2131">
        <v>1</v>
      </c>
      <c r="BB2131" t="str">
        <f t="shared" si="104"/>
        <v xml:space="preserve">N162AM  </v>
      </c>
      <c r="BC2131">
        <v>1</v>
      </c>
      <c r="BE2131">
        <v>0</v>
      </c>
      <c r="BF2131">
        <v>0</v>
      </c>
      <c r="BG2131">
        <v>0</v>
      </c>
      <c r="BH2131">
        <v>1400</v>
      </c>
      <c r="BI2131">
        <v>1</v>
      </c>
      <c r="BJ2131">
        <v>1</v>
      </c>
      <c r="BK2131">
        <v>1</v>
      </c>
      <c r="BL2131">
        <v>0</v>
      </c>
      <c r="BO2131">
        <v>0</v>
      </c>
      <c r="BP2131">
        <v>0</v>
      </c>
      <c r="BW2131" t="str">
        <f>"14:53:47.005"</f>
        <v>14:53:47.005</v>
      </c>
      <c r="CJ2131">
        <v>2</v>
      </c>
      <c r="CK2131">
        <v>2</v>
      </c>
      <c r="CL2131">
        <v>0</v>
      </c>
      <c r="CM2131">
        <v>2</v>
      </c>
      <c r="CN2131">
        <v>0</v>
      </c>
      <c r="CO2131">
        <v>3</v>
      </c>
      <c r="CP2131" t="s">
        <v>119</v>
      </c>
      <c r="CQ2131">
        <v>232</v>
      </c>
      <c r="CR2131">
        <v>1</v>
      </c>
      <c r="CW2131">
        <v>15836119</v>
      </c>
      <c r="CY2131">
        <v>1</v>
      </c>
      <c r="CZ2131">
        <v>0</v>
      </c>
      <c r="DA2131">
        <v>1</v>
      </c>
      <c r="DB2131">
        <v>0</v>
      </c>
      <c r="DC2131">
        <v>0</v>
      </c>
      <c r="DD2131">
        <v>1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3">
      <c r="A2132" t="str">
        <f>"12/16/2021 14:53:47.244"</f>
        <v>12/16/2021 14:53:47.244</v>
      </c>
      <c r="C2132" t="str">
        <f t="shared" si="103"/>
        <v>FFDFD3C0</v>
      </c>
      <c r="D2132" t="s">
        <v>124</v>
      </c>
      <c r="E2132">
        <v>5</v>
      </c>
      <c r="F2132">
        <v>1005</v>
      </c>
      <c r="G2132" t="s">
        <v>114</v>
      </c>
      <c r="J2132" t="s">
        <v>125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>"14:53:47.000"</f>
        <v>14:53:47.000</v>
      </c>
      <c r="T2132" t="str">
        <f>"14:53:46.500"</f>
        <v>14:53:46.500</v>
      </c>
      <c r="U2132" t="str">
        <f t="shared" si="105"/>
        <v>A0F928</v>
      </c>
      <c r="V2132">
        <v>0</v>
      </c>
      <c r="W2132">
        <v>0</v>
      </c>
      <c r="X2132">
        <v>2</v>
      </c>
      <c r="Z2132">
        <v>0</v>
      </c>
      <c r="AA2132">
        <v>9</v>
      </c>
      <c r="AB2132">
        <v>3</v>
      </c>
      <c r="AC2132">
        <v>0</v>
      </c>
      <c r="AD2132">
        <v>10</v>
      </c>
      <c r="AE2132">
        <v>0</v>
      </c>
      <c r="AF2132">
        <v>3</v>
      </c>
      <c r="AG2132">
        <v>2</v>
      </c>
      <c r="AH2132">
        <v>1</v>
      </c>
      <c r="AI2132" t="s">
        <v>1113</v>
      </c>
      <c r="AJ2132">
        <v>35.850727999999997</v>
      </c>
      <c r="AK2132" t="s">
        <v>1114</v>
      </c>
      <c r="AL2132">
        <v>-83.959857999999997</v>
      </c>
      <c r="AM2132">
        <v>25</v>
      </c>
      <c r="AN2132">
        <v>1125</v>
      </c>
      <c r="AO2132" t="s">
        <v>118</v>
      </c>
      <c r="AP2132">
        <v>64</v>
      </c>
      <c r="AQ2132">
        <v>-80</v>
      </c>
      <c r="AR2132">
        <v>-448</v>
      </c>
      <c r="AZ2132">
        <v>300</v>
      </c>
      <c r="BA2132">
        <v>1</v>
      </c>
      <c r="BB2132" t="str">
        <f t="shared" si="104"/>
        <v xml:space="preserve">N162AM  </v>
      </c>
      <c r="BC2132">
        <v>1</v>
      </c>
      <c r="BE2132">
        <v>0</v>
      </c>
      <c r="BF2132">
        <v>0</v>
      </c>
      <c r="BG2132">
        <v>0</v>
      </c>
      <c r="BH2132">
        <v>1400</v>
      </c>
      <c r="BI2132">
        <v>1</v>
      </c>
      <c r="BJ2132">
        <v>1</v>
      </c>
      <c r="BK2132">
        <v>1</v>
      </c>
      <c r="BL2132">
        <v>0</v>
      </c>
      <c r="BO2132">
        <v>0</v>
      </c>
      <c r="BP2132">
        <v>0</v>
      </c>
      <c r="BW2132" t="str">
        <f>"14:53:47.005"</f>
        <v>14:53:47.005</v>
      </c>
      <c r="CJ2132">
        <v>3</v>
      </c>
      <c r="CK2132">
        <v>2</v>
      </c>
      <c r="CL2132">
        <v>0</v>
      </c>
      <c r="CM2132">
        <v>2</v>
      </c>
      <c r="CN2132">
        <v>0</v>
      </c>
      <c r="CO2132">
        <v>3</v>
      </c>
      <c r="CP2132" t="s">
        <v>119</v>
      </c>
      <c r="CQ2132">
        <v>232</v>
      </c>
      <c r="CR2132">
        <v>1</v>
      </c>
      <c r="CW2132">
        <v>15836119</v>
      </c>
      <c r="CY2132">
        <v>1</v>
      </c>
      <c r="CZ2132">
        <v>0</v>
      </c>
      <c r="DA2132">
        <v>1</v>
      </c>
      <c r="DB2132">
        <v>0</v>
      </c>
      <c r="DC2132">
        <v>0</v>
      </c>
      <c r="DD2132">
        <v>1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3">
      <c r="A2133" t="str">
        <f>"12/16/2021 14:53:47.244"</f>
        <v>12/16/2021 14:53:47.244</v>
      </c>
      <c r="C2133" t="str">
        <f t="shared" si="103"/>
        <v>FFDFD3C0</v>
      </c>
      <c r="D2133" t="s">
        <v>113</v>
      </c>
      <c r="E2133">
        <v>8</v>
      </c>
      <c r="H2133">
        <v>176</v>
      </c>
      <c r="I2133" t="s">
        <v>114</v>
      </c>
      <c r="J2133" t="s">
        <v>115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>"14:53:47.000"</f>
        <v>14:53:47.000</v>
      </c>
      <c r="T2133" t="str">
        <f>"14:53:46.500"</f>
        <v>14:53:46.500</v>
      </c>
      <c r="U2133" t="str">
        <f t="shared" si="105"/>
        <v>A0F928</v>
      </c>
      <c r="V2133">
        <v>0</v>
      </c>
      <c r="W2133">
        <v>0</v>
      </c>
      <c r="X2133">
        <v>2</v>
      </c>
      <c r="Z2133">
        <v>0</v>
      </c>
      <c r="AA2133">
        <v>9</v>
      </c>
      <c r="AB2133">
        <v>3</v>
      </c>
      <c r="AC2133">
        <v>0</v>
      </c>
      <c r="AD2133">
        <v>10</v>
      </c>
      <c r="AE2133">
        <v>0</v>
      </c>
      <c r="AF2133">
        <v>3</v>
      </c>
      <c r="AG2133">
        <v>2</v>
      </c>
      <c r="AH2133">
        <v>1</v>
      </c>
      <c r="AI2133" t="s">
        <v>1113</v>
      </c>
      <c r="AJ2133">
        <v>35.850727999999997</v>
      </c>
      <c r="AK2133" t="s">
        <v>1114</v>
      </c>
      <c r="AL2133">
        <v>-83.959857999999997</v>
      </c>
      <c r="AM2133">
        <v>25</v>
      </c>
      <c r="AN2133">
        <v>1125</v>
      </c>
      <c r="AO2133" t="s">
        <v>118</v>
      </c>
      <c r="AP2133">
        <v>64</v>
      </c>
      <c r="AQ2133">
        <v>-80</v>
      </c>
      <c r="AR2133">
        <v>-448</v>
      </c>
      <c r="AZ2133">
        <v>300</v>
      </c>
      <c r="BA2133">
        <v>1</v>
      </c>
      <c r="BB2133" t="str">
        <f t="shared" si="104"/>
        <v xml:space="preserve">N162AM  </v>
      </c>
      <c r="BC2133">
        <v>1</v>
      </c>
      <c r="BE2133">
        <v>0</v>
      </c>
      <c r="BF2133">
        <v>0</v>
      </c>
      <c r="BG2133">
        <v>0</v>
      </c>
      <c r="BH2133">
        <v>1400</v>
      </c>
      <c r="BI2133">
        <v>1</v>
      </c>
      <c r="BJ2133">
        <v>1</v>
      </c>
      <c r="BK2133">
        <v>1</v>
      </c>
      <c r="BL2133">
        <v>0</v>
      </c>
      <c r="BO2133">
        <v>0</v>
      </c>
      <c r="BP2133">
        <v>0</v>
      </c>
      <c r="BW2133" t="str">
        <f>"14:53:47.005"</f>
        <v>14:53:47.005</v>
      </c>
      <c r="CJ2133">
        <v>3</v>
      </c>
      <c r="CK2133">
        <v>2</v>
      </c>
      <c r="CL2133">
        <v>0</v>
      </c>
      <c r="CM2133">
        <v>2</v>
      </c>
      <c r="CN2133">
        <v>0</v>
      </c>
      <c r="CO2133">
        <v>3</v>
      </c>
      <c r="CP2133" t="s">
        <v>119</v>
      </c>
      <c r="CQ2133">
        <v>232</v>
      </c>
      <c r="CR2133">
        <v>1</v>
      </c>
      <c r="CW2133">
        <v>15836119</v>
      </c>
      <c r="CY2133">
        <v>1</v>
      </c>
      <c r="CZ2133">
        <v>0</v>
      </c>
      <c r="DA2133">
        <v>1</v>
      </c>
      <c r="DB2133">
        <v>0</v>
      </c>
      <c r="DC2133">
        <v>0</v>
      </c>
      <c r="DD2133">
        <v>1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3">
      <c r="A2134" t="str">
        <f>"12/16/2021 14:53:48.213"</f>
        <v>12/16/2021 14:53:48.213</v>
      </c>
      <c r="C2134" t="str">
        <f t="shared" si="103"/>
        <v>FFDFD3C0</v>
      </c>
      <c r="D2134" t="s">
        <v>113</v>
      </c>
      <c r="E2134">
        <v>8</v>
      </c>
      <c r="H2134">
        <v>176</v>
      </c>
      <c r="I2134" t="s">
        <v>114</v>
      </c>
      <c r="J2134" t="s">
        <v>115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>"14:53:47.984"</f>
        <v>14:53:47.984</v>
      </c>
      <c r="T2134" t="str">
        <f>"14:53:47.584"</f>
        <v>14:53:47.584</v>
      </c>
      <c r="U2134" t="str">
        <f t="shared" si="105"/>
        <v>A0F928</v>
      </c>
      <c r="V2134">
        <v>0</v>
      </c>
      <c r="W2134">
        <v>0</v>
      </c>
      <c r="X2134">
        <v>2</v>
      </c>
      <c r="Z2134">
        <v>0</v>
      </c>
      <c r="AA2134">
        <v>9</v>
      </c>
      <c r="AB2134">
        <v>3</v>
      </c>
      <c r="AC2134">
        <v>0</v>
      </c>
      <c r="AD2134">
        <v>10</v>
      </c>
      <c r="AE2134">
        <v>0</v>
      </c>
      <c r="AF2134">
        <v>3</v>
      </c>
      <c r="AG2134">
        <v>2</v>
      </c>
      <c r="AH2134">
        <v>1</v>
      </c>
      <c r="AI2134" t="s">
        <v>1115</v>
      </c>
      <c r="AJ2134">
        <v>35.850363000000002</v>
      </c>
      <c r="AK2134" t="s">
        <v>1116</v>
      </c>
      <c r="AL2134">
        <v>-83.959472000000005</v>
      </c>
      <c r="AM2134">
        <v>25</v>
      </c>
      <c r="AN2134">
        <v>1125</v>
      </c>
      <c r="AO2134" t="s">
        <v>118</v>
      </c>
      <c r="AP2134">
        <v>63</v>
      </c>
      <c r="AQ2134">
        <v>-80</v>
      </c>
      <c r="AR2134">
        <v>-448</v>
      </c>
      <c r="AZ2134">
        <v>300</v>
      </c>
      <c r="BA2134">
        <v>1</v>
      </c>
      <c r="BB2134" t="str">
        <f t="shared" si="104"/>
        <v xml:space="preserve">N162AM  </v>
      </c>
      <c r="BC2134">
        <v>1</v>
      </c>
      <c r="BE2134">
        <v>0</v>
      </c>
      <c r="BF2134">
        <v>0</v>
      </c>
      <c r="BG2134">
        <v>0</v>
      </c>
      <c r="BH2134">
        <v>1375</v>
      </c>
      <c r="BI2134">
        <v>1</v>
      </c>
      <c r="BJ2134">
        <v>1</v>
      </c>
      <c r="BK2134">
        <v>1</v>
      </c>
      <c r="BL2134">
        <v>0</v>
      </c>
      <c r="BO2134">
        <v>0</v>
      </c>
      <c r="BP2134">
        <v>0</v>
      </c>
      <c r="BW2134" t="str">
        <f>"14:53:47.985"</f>
        <v>14:53:47.985</v>
      </c>
      <c r="CJ2134">
        <v>3</v>
      </c>
      <c r="CK2134">
        <v>2</v>
      </c>
      <c r="CL2134">
        <v>0</v>
      </c>
      <c r="CM2134">
        <v>2</v>
      </c>
      <c r="CN2134">
        <v>0</v>
      </c>
      <c r="CO2134">
        <v>4</v>
      </c>
      <c r="CP2134" t="s">
        <v>119</v>
      </c>
      <c r="CQ2134">
        <v>232</v>
      </c>
      <c r="CR2134">
        <v>1</v>
      </c>
      <c r="CW2134">
        <v>15837590</v>
      </c>
      <c r="CY2134">
        <v>1</v>
      </c>
      <c r="CZ2134">
        <v>0</v>
      </c>
      <c r="DA2134">
        <v>0</v>
      </c>
      <c r="DB2134">
        <v>0</v>
      </c>
      <c r="DC2134">
        <v>0</v>
      </c>
      <c r="DD2134">
        <v>1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3">
      <c r="A2135" t="str">
        <f>"12/16/2021 14:53:48.213"</f>
        <v>12/16/2021 14:53:48.213</v>
      </c>
      <c r="C2135" t="str">
        <f t="shared" si="103"/>
        <v>FFDFD3C0</v>
      </c>
      <c r="D2135" t="s">
        <v>133</v>
      </c>
      <c r="E2135">
        <v>44</v>
      </c>
      <c r="H2135">
        <v>131</v>
      </c>
      <c r="I2135" t="s">
        <v>134</v>
      </c>
      <c r="J2135" t="s">
        <v>135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>"14:53:47.984"</f>
        <v>14:53:47.984</v>
      </c>
      <c r="T2135" t="str">
        <f>"14:53:47.584"</f>
        <v>14:53:47.584</v>
      </c>
      <c r="U2135" t="str">
        <f t="shared" si="105"/>
        <v>A0F928</v>
      </c>
      <c r="V2135">
        <v>0</v>
      </c>
      <c r="W2135">
        <v>0</v>
      </c>
      <c r="X2135">
        <v>2</v>
      </c>
      <c r="Z2135">
        <v>0</v>
      </c>
      <c r="AA2135">
        <v>9</v>
      </c>
      <c r="AB2135">
        <v>3</v>
      </c>
      <c r="AC2135">
        <v>0</v>
      </c>
      <c r="AD2135">
        <v>10</v>
      </c>
      <c r="AE2135">
        <v>0</v>
      </c>
      <c r="AF2135">
        <v>3</v>
      </c>
      <c r="AG2135">
        <v>2</v>
      </c>
      <c r="AH2135">
        <v>1</v>
      </c>
      <c r="AI2135" t="s">
        <v>1115</v>
      </c>
      <c r="AJ2135">
        <v>35.850363000000002</v>
      </c>
      <c r="AK2135" t="s">
        <v>1116</v>
      </c>
      <c r="AL2135">
        <v>-83.959472000000005</v>
      </c>
      <c r="AM2135">
        <v>25</v>
      </c>
      <c r="AN2135">
        <v>1125</v>
      </c>
      <c r="AO2135" t="s">
        <v>118</v>
      </c>
      <c r="AP2135">
        <v>63</v>
      </c>
      <c r="AQ2135">
        <v>-80</v>
      </c>
      <c r="AR2135">
        <v>-448</v>
      </c>
      <c r="AZ2135">
        <v>300</v>
      </c>
      <c r="BA2135">
        <v>1</v>
      </c>
      <c r="BB2135" t="str">
        <f t="shared" si="104"/>
        <v xml:space="preserve">N162AM  </v>
      </c>
      <c r="BC2135">
        <v>1</v>
      </c>
      <c r="BE2135">
        <v>0</v>
      </c>
      <c r="BF2135">
        <v>0</v>
      </c>
      <c r="BG2135">
        <v>0</v>
      </c>
      <c r="BH2135">
        <v>1375</v>
      </c>
      <c r="BI2135">
        <v>1</v>
      </c>
      <c r="BJ2135">
        <v>1</v>
      </c>
      <c r="BK2135">
        <v>1</v>
      </c>
      <c r="BL2135">
        <v>0</v>
      </c>
      <c r="BO2135">
        <v>0</v>
      </c>
      <c r="BP2135">
        <v>0</v>
      </c>
      <c r="BW2135" t="str">
        <f>"14:53:47.985"</f>
        <v>14:53:47.985</v>
      </c>
      <c r="CJ2135">
        <v>3</v>
      </c>
      <c r="CK2135">
        <v>2</v>
      </c>
      <c r="CL2135">
        <v>0</v>
      </c>
      <c r="CM2135">
        <v>2</v>
      </c>
      <c r="CN2135">
        <v>0</v>
      </c>
      <c r="CO2135">
        <v>4</v>
      </c>
      <c r="CP2135" t="s">
        <v>119</v>
      </c>
      <c r="CQ2135">
        <v>232</v>
      </c>
      <c r="CR2135">
        <v>1</v>
      </c>
      <c r="CW2135">
        <v>15837590</v>
      </c>
      <c r="CY2135">
        <v>1</v>
      </c>
      <c r="CZ2135">
        <v>0</v>
      </c>
      <c r="DA2135">
        <v>1</v>
      </c>
      <c r="DB2135">
        <v>0</v>
      </c>
      <c r="DC2135">
        <v>0</v>
      </c>
      <c r="DD2135">
        <v>1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3">
      <c r="A2136" t="str">
        <f>"12/16/2021 14:53:48.213"</f>
        <v>12/16/2021 14:53:48.213</v>
      </c>
      <c r="C2136" t="str">
        <f t="shared" si="103"/>
        <v>FFDFD3C0</v>
      </c>
      <c r="D2136" t="s">
        <v>124</v>
      </c>
      <c r="E2136">
        <v>10</v>
      </c>
      <c r="F2136">
        <v>1010</v>
      </c>
      <c r="G2136" t="s">
        <v>130</v>
      </c>
      <c r="J2136" t="s">
        <v>125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>"14:53:47.984"</f>
        <v>14:53:47.984</v>
      </c>
      <c r="T2136" t="str">
        <f>"14:53:47.584"</f>
        <v>14:53:47.584</v>
      </c>
      <c r="U2136" t="str">
        <f t="shared" si="105"/>
        <v>A0F928</v>
      </c>
      <c r="V2136">
        <v>0</v>
      </c>
      <c r="W2136">
        <v>0</v>
      </c>
      <c r="X2136">
        <v>2</v>
      </c>
      <c r="Z2136">
        <v>0</v>
      </c>
      <c r="AA2136">
        <v>9</v>
      </c>
      <c r="AB2136">
        <v>3</v>
      </c>
      <c r="AC2136">
        <v>0</v>
      </c>
      <c r="AD2136">
        <v>10</v>
      </c>
      <c r="AE2136">
        <v>0</v>
      </c>
      <c r="AF2136">
        <v>0</v>
      </c>
      <c r="AG2136">
        <v>2</v>
      </c>
      <c r="AH2136">
        <v>1</v>
      </c>
      <c r="AI2136" t="s">
        <v>1115</v>
      </c>
      <c r="AJ2136">
        <v>35.850363000000002</v>
      </c>
      <c r="AK2136" t="s">
        <v>1116</v>
      </c>
      <c r="AL2136">
        <v>-83.959472000000005</v>
      </c>
      <c r="AM2136">
        <v>25</v>
      </c>
      <c r="AN2136">
        <v>1125</v>
      </c>
      <c r="AO2136" t="s">
        <v>118</v>
      </c>
      <c r="AP2136">
        <v>63</v>
      </c>
      <c r="AQ2136">
        <v>-80</v>
      </c>
      <c r="AR2136">
        <v>-448</v>
      </c>
      <c r="AZ2136">
        <v>300</v>
      </c>
      <c r="BA2136">
        <v>1</v>
      </c>
      <c r="BB2136" t="str">
        <f t="shared" si="104"/>
        <v xml:space="preserve">N162AM  </v>
      </c>
      <c r="BC2136">
        <v>1</v>
      </c>
      <c r="BE2136">
        <v>0</v>
      </c>
      <c r="BF2136">
        <v>0</v>
      </c>
      <c r="BG2136">
        <v>0</v>
      </c>
      <c r="BH2136">
        <v>1375</v>
      </c>
      <c r="BI2136">
        <v>1</v>
      </c>
      <c r="BJ2136">
        <v>1</v>
      </c>
      <c r="BK2136">
        <v>1</v>
      </c>
      <c r="BL2136">
        <v>0</v>
      </c>
      <c r="BO2136">
        <v>0</v>
      </c>
      <c r="BP2136">
        <v>0</v>
      </c>
      <c r="BW2136" t="str">
        <f>"14:53:47.985"</f>
        <v>14:53:47.985</v>
      </c>
      <c r="CJ2136">
        <v>2</v>
      </c>
      <c r="CK2136">
        <v>2</v>
      </c>
      <c r="CL2136">
        <v>0</v>
      </c>
      <c r="CM2136">
        <v>2</v>
      </c>
      <c r="CN2136">
        <v>0</v>
      </c>
      <c r="CO2136">
        <v>4</v>
      </c>
      <c r="CP2136" t="s">
        <v>119</v>
      </c>
      <c r="CQ2136">
        <v>232</v>
      </c>
      <c r="CR2136">
        <v>1</v>
      </c>
      <c r="CW2136">
        <v>15837590</v>
      </c>
      <c r="CY2136">
        <v>1</v>
      </c>
      <c r="CZ2136">
        <v>0</v>
      </c>
      <c r="DA2136">
        <v>1</v>
      </c>
      <c r="DB2136">
        <v>0</v>
      </c>
      <c r="DC2136">
        <v>0</v>
      </c>
      <c r="DD2136">
        <v>1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3">
      <c r="A2137" t="str">
        <f>"12/16/2021 14:53:48.213"</f>
        <v>12/16/2021 14:53:48.213</v>
      </c>
      <c r="C2137" t="str">
        <f t="shared" si="103"/>
        <v>FFDFD3C0</v>
      </c>
      <c r="D2137" t="s">
        <v>124</v>
      </c>
      <c r="E2137">
        <v>5</v>
      </c>
      <c r="F2137">
        <v>1005</v>
      </c>
      <c r="G2137" t="s">
        <v>114</v>
      </c>
      <c r="J2137" t="s">
        <v>125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>"14:53:47.984"</f>
        <v>14:53:47.984</v>
      </c>
      <c r="T2137" t="str">
        <f>"14:53:47.584"</f>
        <v>14:53:47.584</v>
      </c>
      <c r="U2137" t="str">
        <f t="shared" si="105"/>
        <v>A0F928</v>
      </c>
      <c r="V2137">
        <v>0</v>
      </c>
      <c r="W2137">
        <v>0</v>
      </c>
      <c r="X2137">
        <v>2</v>
      </c>
      <c r="Z2137">
        <v>0</v>
      </c>
      <c r="AA2137">
        <v>9</v>
      </c>
      <c r="AB2137">
        <v>3</v>
      </c>
      <c r="AC2137">
        <v>0</v>
      </c>
      <c r="AD2137">
        <v>10</v>
      </c>
      <c r="AE2137">
        <v>0</v>
      </c>
      <c r="AF2137">
        <v>3</v>
      </c>
      <c r="AG2137">
        <v>2</v>
      </c>
      <c r="AH2137">
        <v>1</v>
      </c>
      <c r="AI2137" t="s">
        <v>1115</v>
      </c>
      <c r="AJ2137">
        <v>35.850363000000002</v>
      </c>
      <c r="AK2137" t="s">
        <v>1116</v>
      </c>
      <c r="AL2137">
        <v>-83.959472000000005</v>
      </c>
      <c r="AM2137">
        <v>25</v>
      </c>
      <c r="AN2137">
        <v>1125</v>
      </c>
      <c r="AO2137" t="s">
        <v>118</v>
      </c>
      <c r="AP2137">
        <v>63</v>
      </c>
      <c r="AQ2137">
        <v>-80</v>
      </c>
      <c r="AR2137">
        <v>-448</v>
      </c>
      <c r="AZ2137">
        <v>300</v>
      </c>
      <c r="BA2137">
        <v>1</v>
      </c>
      <c r="BB2137" t="str">
        <f t="shared" si="104"/>
        <v xml:space="preserve">N162AM  </v>
      </c>
      <c r="BC2137">
        <v>1</v>
      </c>
      <c r="BE2137">
        <v>0</v>
      </c>
      <c r="BF2137">
        <v>0</v>
      </c>
      <c r="BG2137">
        <v>0</v>
      </c>
      <c r="BH2137">
        <v>1375</v>
      </c>
      <c r="BI2137">
        <v>1</v>
      </c>
      <c r="BJ2137">
        <v>1</v>
      </c>
      <c r="BK2137">
        <v>1</v>
      </c>
      <c r="BL2137">
        <v>0</v>
      </c>
      <c r="BO2137">
        <v>0</v>
      </c>
      <c r="BP2137">
        <v>0</v>
      </c>
      <c r="BW2137" t="str">
        <f>"14:53:47.985"</f>
        <v>14:53:47.985</v>
      </c>
      <c r="CJ2137">
        <v>3</v>
      </c>
      <c r="CK2137">
        <v>2</v>
      </c>
      <c r="CL2137">
        <v>0</v>
      </c>
      <c r="CM2137">
        <v>2</v>
      </c>
      <c r="CN2137">
        <v>0</v>
      </c>
      <c r="CO2137">
        <v>4</v>
      </c>
      <c r="CP2137" t="s">
        <v>119</v>
      </c>
      <c r="CQ2137">
        <v>232</v>
      </c>
      <c r="CR2137">
        <v>1</v>
      </c>
      <c r="CW2137">
        <v>15837590</v>
      </c>
      <c r="CY2137">
        <v>1</v>
      </c>
      <c r="CZ2137">
        <v>0</v>
      </c>
      <c r="DA2137">
        <v>1</v>
      </c>
      <c r="DB2137">
        <v>0</v>
      </c>
      <c r="DC2137">
        <v>0</v>
      </c>
      <c r="DD2137">
        <v>1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3">
      <c r="A2138" t="str">
        <f>"12/16/2021 14:53:49.072"</f>
        <v>12/16/2021 14:53:49.072</v>
      </c>
      <c r="C2138" t="str">
        <f t="shared" si="103"/>
        <v>FFDFD3C0</v>
      </c>
      <c r="D2138" t="s">
        <v>133</v>
      </c>
      <c r="E2138">
        <v>44</v>
      </c>
      <c r="H2138">
        <v>131</v>
      </c>
      <c r="I2138" t="s">
        <v>134</v>
      </c>
      <c r="J2138" t="s">
        <v>135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>"14:53:48.891"</f>
        <v>14:53:48.891</v>
      </c>
      <c r="T2138" t="str">
        <f>"14:53:47.591"</f>
        <v>14:53:47.591</v>
      </c>
      <c r="U2138" t="str">
        <f t="shared" si="105"/>
        <v>A0F928</v>
      </c>
      <c r="V2138">
        <v>0</v>
      </c>
      <c r="W2138">
        <v>0</v>
      </c>
      <c r="X2138">
        <v>2</v>
      </c>
      <c r="Z2138">
        <v>0</v>
      </c>
      <c r="AA2138">
        <v>9</v>
      </c>
      <c r="AB2138">
        <v>3</v>
      </c>
      <c r="AC2138">
        <v>0</v>
      </c>
      <c r="AD2138">
        <v>10</v>
      </c>
      <c r="AE2138">
        <v>0</v>
      </c>
      <c r="AF2138">
        <v>3</v>
      </c>
      <c r="AG2138">
        <v>2</v>
      </c>
      <c r="AH2138">
        <v>1</v>
      </c>
      <c r="AI2138" t="s">
        <v>1117</v>
      </c>
      <c r="AJ2138">
        <v>35.850019000000003</v>
      </c>
      <c r="AK2138" t="s">
        <v>1118</v>
      </c>
      <c r="AL2138">
        <v>-83.959149999999994</v>
      </c>
      <c r="AM2138">
        <v>25</v>
      </c>
      <c r="AN2138">
        <v>1100</v>
      </c>
      <c r="AO2138" t="s">
        <v>118</v>
      </c>
      <c r="AP2138">
        <v>63</v>
      </c>
      <c r="AQ2138">
        <v>-80</v>
      </c>
      <c r="AR2138">
        <v>-448</v>
      </c>
      <c r="AZ2138">
        <v>300</v>
      </c>
      <c r="BA2138">
        <v>1</v>
      </c>
      <c r="BB2138" t="str">
        <f t="shared" si="104"/>
        <v xml:space="preserve">N162AM  </v>
      </c>
      <c r="BC2138">
        <v>1</v>
      </c>
      <c r="BE2138">
        <v>0</v>
      </c>
      <c r="BF2138">
        <v>0</v>
      </c>
      <c r="BG2138">
        <v>0</v>
      </c>
      <c r="BH2138">
        <v>1375</v>
      </c>
      <c r="BI2138">
        <v>1</v>
      </c>
      <c r="BJ2138">
        <v>1</v>
      </c>
      <c r="BK2138">
        <v>1</v>
      </c>
      <c r="BL2138">
        <v>0</v>
      </c>
      <c r="BO2138">
        <v>0</v>
      </c>
      <c r="BP2138">
        <v>0</v>
      </c>
      <c r="BW2138" t="str">
        <f>"14:53:48.897"</f>
        <v>14:53:48.897</v>
      </c>
      <c r="CJ2138">
        <v>3</v>
      </c>
      <c r="CK2138">
        <v>2</v>
      </c>
      <c r="CL2138">
        <v>0</v>
      </c>
      <c r="CM2138">
        <v>2</v>
      </c>
      <c r="CN2138">
        <v>0</v>
      </c>
      <c r="CO2138">
        <v>4</v>
      </c>
      <c r="CP2138" t="s">
        <v>119</v>
      </c>
      <c r="CQ2138">
        <v>232</v>
      </c>
      <c r="CR2138">
        <v>2</v>
      </c>
      <c r="CW2138">
        <v>7057889</v>
      </c>
      <c r="CY2138">
        <v>1</v>
      </c>
      <c r="CZ2138">
        <v>0</v>
      </c>
      <c r="DA2138">
        <v>0</v>
      </c>
      <c r="DB2138">
        <v>0</v>
      </c>
      <c r="DC2138">
        <v>0</v>
      </c>
      <c r="DD2138">
        <v>1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3">
      <c r="A2139" t="str">
        <f>"12/16/2021 14:53:49.119"</f>
        <v>12/16/2021 14:53:49.119</v>
      </c>
      <c r="C2139" t="str">
        <f t="shared" si="103"/>
        <v>FFDFD3C0</v>
      </c>
      <c r="D2139" t="s">
        <v>124</v>
      </c>
      <c r="E2139">
        <v>5</v>
      </c>
      <c r="F2139">
        <v>1005</v>
      </c>
      <c r="G2139" t="s">
        <v>114</v>
      </c>
      <c r="J2139" t="s">
        <v>125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>"14:53:48.891"</f>
        <v>14:53:48.891</v>
      </c>
      <c r="T2139" t="str">
        <f>"14:53:47.591"</f>
        <v>14:53:47.591</v>
      </c>
      <c r="U2139" t="str">
        <f t="shared" si="105"/>
        <v>A0F928</v>
      </c>
      <c r="V2139">
        <v>0</v>
      </c>
      <c r="W2139">
        <v>0</v>
      </c>
      <c r="X2139">
        <v>2</v>
      </c>
      <c r="Z2139">
        <v>0</v>
      </c>
      <c r="AA2139">
        <v>9</v>
      </c>
      <c r="AB2139">
        <v>3</v>
      </c>
      <c r="AC2139">
        <v>0</v>
      </c>
      <c r="AD2139">
        <v>10</v>
      </c>
      <c r="AE2139">
        <v>0</v>
      </c>
      <c r="AF2139">
        <v>3</v>
      </c>
      <c r="AG2139">
        <v>2</v>
      </c>
      <c r="AH2139">
        <v>1</v>
      </c>
      <c r="AI2139" t="s">
        <v>1117</v>
      </c>
      <c r="AJ2139">
        <v>35.850019000000003</v>
      </c>
      <c r="AK2139" t="s">
        <v>1118</v>
      </c>
      <c r="AL2139">
        <v>-83.959149999999994</v>
      </c>
      <c r="AM2139">
        <v>25</v>
      </c>
      <c r="AN2139">
        <v>1100</v>
      </c>
      <c r="AO2139" t="s">
        <v>118</v>
      </c>
      <c r="AP2139">
        <v>63</v>
      </c>
      <c r="AQ2139">
        <v>-80</v>
      </c>
      <c r="AR2139">
        <v>-448</v>
      </c>
      <c r="AZ2139">
        <v>300</v>
      </c>
      <c r="BA2139">
        <v>1</v>
      </c>
      <c r="BB2139" t="str">
        <f t="shared" si="104"/>
        <v xml:space="preserve">N162AM  </v>
      </c>
      <c r="BC2139">
        <v>1</v>
      </c>
      <c r="BE2139">
        <v>0</v>
      </c>
      <c r="BF2139">
        <v>0</v>
      </c>
      <c r="BG2139">
        <v>0</v>
      </c>
      <c r="BH2139">
        <v>1375</v>
      </c>
      <c r="BI2139">
        <v>1</v>
      </c>
      <c r="BJ2139">
        <v>1</v>
      </c>
      <c r="BK2139">
        <v>1</v>
      </c>
      <c r="BL2139">
        <v>0</v>
      </c>
      <c r="BO2139">
        <v>0</v>
      </c>
      <c r="BP2139">
        <v>0</v>
      </c>
      <c r="BW2139" t="str">
        <f>"14:53:48.897"</f>
        <v>14:53:48.897</v>
      </c>
      <c r="CJ2139">
        <v>3</v>
      </c>
      <c r="CK2139">
        <v>2</v>
      </c>
      <c r="CL2139">
        <v>0</v>
      </c>
      <c r="CM2139">
        <v>2</v>
      </c>
      <c r="CN2139">
        <v>0</v>
      </c>
      <c r="CO2139">
        <v>4</v>
      </c>
      <c r="CP2139" t="s">
        <v>119</v>
      </c>
      <c r="CQ2139">
        <v>232</v>
      </c>
      <c r="CR2139">
        <v>2</v>
      </c>
      <c r="CW2139">
        <v>7057889</v>
      </c>
      <c r="CY2139">
        <v>1</v>
      </c>
      <c r="CZ2139">
        <v>0</v>
      </c>
      <c r="DA2139">
        <v>1</v>
      </c>
      <c r="DB2139">
        <v>0</v>
      </c>
      <c r="DC2139">
        <v>0</v>
      </c>
      <c r="DD2139">
        <v>1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3">
      <c r="A2140" t="str">
        <f>"12/16/2021 14:53:49.119"</f>
        <v>12/16/2021 14:53:49.119</v>
      </c>
      <c r="C2140" t="str">
        <f t="shared" si="103"/>
        <v>FFDFD3C0</v>
      </c>
      <c r="D2140" t="s">
        <v>113</v>
      </c>
      <c r="E2140">
        <v>8</v>
      </c>
      <c r="H2140">
        <v>176</v>
      </c>
      <c r="I2140" t="s">
        <v>114</v>
      </c>
      <c r="J2140" t="s">
        <v>115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>"14:53:48.891"</f>
        <v>14:53:48.891</v>
      </c>
      <c r="T2140" t="str">
        <f>"14:53:47.591"</f>
        <v>14:53:47.591</v>
      </c>
      <c r="U2140" t="str">
        <f t="shared" si="105"/>
        <v>A0F928</v>
      </c>
      <c r="V2140">
        <v>0</v>
      </c>
      <c r="W2140">
        <v>0</v>
      </c>
      <c r="X2140">
        <v>2</v>
      </c>
      <c r="Z2140">
        <v>0</v>
      </c>
      <c r="AA2140">
        <v>9</v>
      </c>
      <c r="AB2140">
        <v>3</v>
      </c>
      <c r="AC2140">
        <v>0</v>
      </c>
      <c r="AD2140">
        <v>10</v>
      </c>
      <c r="AE2140">
        <v>0</v>
      </c>
      <c r="AF2140">
        <v>3</v>
      </c>
      <c r="AG2140">
        <v>2</v>
      </c>
      <c r="AH2140">
        <v>1</v>
      </c>
      <c r="AI2140" t="s">
        <v>1117</v>
      </c>
      <c r="AJ2140">
        <v>35.850019000000003</v>
      </c>
      <c r="AK2140" t="s">
        <v>1118</v>
      </c>
      <c r="AL2140">
        <v>-83.959149999999994</v>
      </c>
      <c r="AM2140">
        <v>25</v>
      </c>
      <c r="AN2140">
        <v>1100</v>
      </c>
      <c r="AO2140" t="s">
        <v>118</v>
      </c>
      <c r="AP2140">
        <v>63</v>
      </c>
      <c r="AQ2140">
        <v>-80</v>
      </c>
      <c r="AR2140">
        <v>-448</v>
      </c>
      <c r="AZ2140">
        <v>300</v>
      </c>
      <c r="BA2140">
        <v>1</v>
      </c>
      <c r="BB2140" t="str">
        <f t="shared" si="104"/>
        <v xml:space="preserve">N162AM  </v>
      </c>
      <c r="BC2140">
        <v>1</v>
      </c>
      <c r="BE2140">
        <v>0</v>
      </c>
      <c r="BF2140">
        <v>0</v>
      </c>
      <c r="BG2140">
        <v>0</v>
      </c>
      <c r="BH2140">
        <v>1375</v>
      </c>
      <c r="BI2140">
        <v>1</v>
      </c>
      <c r="BJ2140">
        <v>1</v>
      </c>
      <c r="BK2140">
        <v>1</v>
      </c>
      <c r="BL2140">
        <v>0</v>
      </c>
      <c r="BO2140">
        <v>0</v>
      </c>
      <c r="BP2140">
        <v>0</v>
      </c>
      <c r="BW2140" t="str">
        <f>"14:53:48.897"</f>
        <v>14:53:48.897</v>
      </c>
      <c r="CJ2140">
        <v>3</v>
      </c>
      <c r="CK2140">
        <v>2</v>
      </c>
      <c r="CL2140">
        <v>0</v>
      </c>
      <c r="CM2140">
        <v>2</v>
      </c>
      <c r="CN2140">
        <v>0</v>
      </c>
      <c r="CO2140">
        <v>4</v>
      </c>
      <c r="CP2140" t="s">
        <v>119</v>
      </c>
      <c r="CQ2140">
        <v>232</v>
      </c>
      <c r="CR2140">
        <v>2</v>
      </c>
      <c r="CW2140">
        <v>7057889</v>
      </c>
      <c r="CY2140">
        <v>1</v>
      </c>
      <c r="CZ2140">
        <v>0</v>
      </c>
      <c r="DA2140">
        <v>1</v>
      </c>
      <c r="DB2140">
        <v>0</v>
      </c>
      <c r="DC2140">
        <v>0</v>
      </c>
      <c r="DD2140">
        <v>1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3">
      <c r="A2141" t="str">
        <f>"12/16/2021 14:53:49.119"</f>
        <v>12/16/2021 14:53:49.119</v>
      </c>
      <c r="C2141" t="str">
        <f t="shared" si="103"/>
        <v>FFDFD3C0</v>
      </c>
      <c r="D2141" t="s">
        <v>124</v>
      </c>
      <c r="E2141">
        <v>10</v>
      </c>
      <c r="F2141">
        <v>1010</v>
      </c>
      <c r="G2141" t="s">
        <v>130</v>
      </c>
      <c r="J2141" t="s">
        <v>125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>"14:53:48.891"</f>
        <v>14:53:48.891</v>
      </c>
      <c r="T2141" t="str">
        <f>"14:53:47.591"</f>
        <v>14:53:47.591</v>
      </c>
      <c r="U2141" t="str">
        <f t="shared" si="105"/>
        <v>A0F928</v>
      </c>
      <c r="V2141">
        <v>0</v>
      </c>
      <c r="W2141">
        <v>0</v>
      </c>
      <c r="X2141">
        <v>2</v>
      </c>
      <c r="Z2141">
        <v>0</v>
      </c>
      <c r="AA2141">
        <v>9</v>
      </c>
      <c r="AB2141">
        <v>3</v>
      </c>
      <c r="AC2141">
        <v>0</v>
      </c>
      <c r="AD2141">
        <v>10</v>
      </c>
      <c r="AE2141">
        <v>0</v>
      </c>
      <c r="AF2141">
        <v>0</v>
      </c>
      <c r="AG2141">
        <v>2</v>
      </c>
      <c r="AH2141">
        <v>1</v>
      </c>
      <c r="AI2141" t="s">
        <v>1117</v>
      </c>
      <c r="AJ2141">
        <v>35.850019000000003</v>
      </c>
      <c r="AK2141" t="s">
        <v>1118</v>
      </c>
      <c r="AL2141">
        <v>-83.959149999999994</v>
      </c>
      <c r="AM2141">
        <v>25</v>
      </c>
      <c r="AN2141">
        <v>1100</v>
      </c>
      <c r="AO2141" t="s">
        <v>118</v>
      </c>
      <c r="AP2141">
        <v>63</v>
      </c>
      <c r="AQ2141">
        <v>-80</v>
      </c>
      <c r="AR2141">
        <v>-448</v>
      </c>
      <c r="AZ2141">
        <v>300</v>
      </c>
      <c r="BA2141">
        <v>1</v>
      </c>
      <c r="BB2141" t="str">
        <f t="shared" si="104"/>
        <v xml:space="preserve">N162AM  </v>
      </c>
      <c r="BC2141">
        <v>1</v>
      </c>
      <c r="BE2141">
        <v>0</v>
      </c>
      <c r="BF2141">
        <v>0</v>
      </c>
      <c r="BG2141">
        <v>0</v>
      </c>
      <c r="BH2141">
        <v>1375</v>
      </c>
      <c r="BI2141">
        <v>1</v>
      </c>
      <c r="BJ2141">
        <v>1</v>
      </c>
      <c r="BK2141">
        <v>1</v>
      </c>
      <c r="BL2141">
        <v>0</v>
      </c>
      <c r="BO2141">
        <v>0</v>
      </c>
      <c r="BP2141">
        <v>0</v>
      </c>
      <c r="BW2141" t="str">
        <f>"14:53:48.897"</f>
        <v>14:53:48.897</v>
      </c>
      <c r="CJ2141">
        <v>2</v>
      </c>
      <c r="CK2141">
        <v>2</v>
      </c>
      <c r="CL2141">
        <v>0</v>
      </c>
      <c r="CM2141">
        <v>2</v>
      </c>
      <c r="CN2141">
        <v>0</v>
      </c>
      <c r="CO2141">
        <v>4</v>
      </c>
      <c r="CP2141" t="s">
        <v>119</v>
      </c>
      <c r="CQ2141">
        <v>232</v>
      </c>
      <c r="CR2141">
        <v>2</v>
      </c>
      <c r="CW2141">
        <v>7057889</v>
      </c>
      <c r="CY2141">
        <v>1</v>
      </c>
      <c r="CZ2141">
        <v>0</v>
      </c>
      <c r="DA2141">
        <v>1</v>
      </c>
      <c r="DB2141">
        <v>0</v>
      </c>
      <c r="DC2141">
        <v>0</v>
      </c>
      <c r="DD2141">
        <v>1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3">
      <c r="A2142" t="str">
        <f>"12/16/2021 14:53:50.462"</f>
        <v>12/16/2021 14:53:50.462</v>
      </c>
      <c r="C2142" t="str">
        <f t="shared" si="103"/>
        <v>FFDFD3C0</v>
      </c>
      <c r="D2142" t="s">
        <v>133</v>
      </c>
      <c r="E2142">
        <v>44</v>
      </c>
      <c r="H2142">
        <v>131</v>
      </c>
      <c r="I2142" t="s">
        <v>134</v>
      </c>
      <c r="J2142" t="s">
        <v>135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>"14:53:50.234"</f>
        <v>14:53:50.234</v>
      </c>
      <c r="T2142" t="str">
        <f>"14:53:49.334"</f>
        <v>14:53:49.334</v>
      </c>
      <c r="U2142" t="str">
        <f t="shared" si="105"/>
        <v>A0F928</v>
      </c>
      <c r="V2142">
        <v>0</v>
      </c>
      <c r="W2142">
        <v>0</v>
      </c>
      <c r="X2142">
        <v>2</v>
      </c>
      <c r="Z2142">
        <v>0</v>
      </c>
      <c r="AA2142">
        <v>9</v>
      </c>
      <c r="AB2142">
        <v>3</v>
      </c>
      <c r="AC2142">
        <v>0</v>
      </c>
      <c r="AD2142">
        <v>10</v>
      </c>
      <c r="AE2142">
        <v>0</v>
      </c>
      <c r="AF2142">
        <v>3</v>
      </c>
      <c r="AG2142">
        <v>2</v>
      </c>
      <c r="AH2142">
        <v>1</v>
      </c>
      <c r="AI2142" t="s">
        <v>1119</v>
      </c>
      <c r="AJ2142">
        <v>35.849525999999997</v>
      </c>
      <c r="AK2142" t="s">
        <v>1120</v>
      </c>
      <c r="AL2142">
        <v>-83.958720999999997</v>
      </c>
      <c r="AM2142">
        <v>25</v>
      </c>
      <c r="AN2142">
        <v>1100</v>
      </c>
      <c r="AO2142" t="s">
        <v>118</v>
      </c>
      <c r="AP2142">
        <v>61</v>
      </c>
      <c r="AQ2142">
        <v>-80</v>
      </c>
      <c r="AR2142">
        <v>-192</v>
      </c>
      <c r="AZ2142">
        <v>300</v>
      </c>
      <c r="BA2142">
        <v>1</v>
      </c>
      <c r="BB2142" t="str">
        <f t="shared" si="104"/>
        <v xml:space="preserve">N162AM  </v>
      </c>
      <c r="BC2142">
        <v>1</v>
      </c>
      <c r="BE2142">
        <v>0</v>
      </c>
      <c r="BF2142">
        <v>0</v>
      </c>
      <c r="BG2142">
        <v>0</v>
      </c>
      <c r="BH2142">
        <v>1350</v>
      </c>
      <c r="BI2142">
        <v>1</v>
      </c>
      <c r="BJ2142">
        <v>1</v>
      </c>
      <c r="BK2142">
        <v>1</v>
      </c>
      <c r="BL2142">
        <v>0</v>
      </c>
      <c r="BO2142">
        <v>0</v>
      </c>
      <c r="BP2142">
        <v>0</v>
      </c>
      <c r="BW2142" t="str">
        <f>"14:53:50.238"</f>
        <v>14:53:50.238</v>
      </c>
      <c r="CJ2142">
        <v>3</v>
      </c>
      <c r="CK2142">
        <v>2</v>
      </c>
      <c r="CL2142">
        <v>0</v>
      </c>
      <c r="CM2142">
        <v>2</v>
      </c>
      <c r="CN2142">
        <v>0</v>
      </c>
      <c r="CO2142">
        <v>5</v>
      </c>
      <c r="CP2142" t="s">
        <v>119</v>
      </c>
      <c r="CQ2142">
        <v>232</v>
      </c>
      <c r="CR2142">
        <v>1</v>
      </c>
      <c r="CW2142">
        <v>15840874</v>
      </c>
      <c r="CY2142">
        <v>1</v>
      </c>
      <c r="CZ2142">
        <v>0</v>
      </c>
      <c r="DA2142">
        <v>0</v>
      </c>
      <c r="DB2142">
        <v>0</v>
      </c>
      <c r="DC2142">
        <v>0</v>
      </c>
      <c r="DD2142">
        <v>1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3">
      <c r="A2143" t="str">
        <f>"12/16/2021 14:53:50.462"</f>
        <v>12/16/2021 14:53:50.462</v>
      </c>
      <c r="C2143" t="str">
        <f t="shared" si="103"/>
        <v>FFDFD3C0</v>
      </c>
      <c r="D2143" t="s">
        <v>124</v>
      </c>
      <c r="E2143">
        <v>10</v>
      </c>
      <c r="F2143">
        <v>1010</v>
      </c>
      <c r="G2143" t="s">
        <v>130</v>
      </c>
      <c r="J2143" t="s">
        <v>125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>"14:53:50.234"</f>
        <v>14:53:50.234</v>
      </c>
      <c r="T2143" t="str">
        <f>"14:53:49.334"</f>
        <v>14:53:49.334</v>
      </c>
      <c r="U2143" t="str">
        <f t="shared" si="105"/>
        <v>A0F928</v>
      </c>
      <c r="V2143">
        <v>0</v>
      </c>
      <c r="W2143">
        <v>0</v>
      </c>
      <c r="X2143">
        <v>2</v>
      </c>
      <c r="Z2143">
        <v>0</v>
      </c>
      <c r="AA2143">
        <v>9</v>
      </c>
      <c r="AB2143">
        <v>3</v>
      </c>
      <c r="AC2143">
        <v>0</v>
      </c>
      <c r="AD2143">
        <v>10</v>
      </c>
      <c r="AE2143">
        <v>0</v>
      </c>
      <c r="AF2143">
        <v>0</v>
      </c>
      <c r="AG2143">
        <v>2</v>
      </c>
      <c r="AH2143">
        <v>1</v>
      </c>
      <c r="AI2143" t="s">
        <v>1119</v>
      </c>
      <c r="AJ2143">
        <v>35.849525999999997</v>
      </c>
      <c r="AK2143" t="s">
        <v>1120</v>
      </c>
      <c r="AL2143">
        <v>-83.958720999999997</v>
      </c>
      <c r="AM2143">
        <v>25</v>
      </c>
      <c r="AN2143">
        <v>1100</v>
      </c>
      <c r="AO2143" t="s">
        <v>118</v>
      </c>
      <c r="AP2143">
        <v>61</v>
      </c>
      <c r="AQ2143">
        <v>-80</v>
      </c>
      <c r="AR2143">
        <v>-192</v>
      </c>
      <c r="AZ2143">
        <v>300</v>
      </c>
      <c r="BA2143">
        <v>1</v>
      </c>
      <c r="BB2143" t="str">
        <f t="shared" si="104"/>
        <v xml:space="preserve">N162AM  </v>
      </c>
      <c r="BC2143">
        <v>1</v>
      </c>
      <c r="BE2143">
        <v>0</v>
      </c>
      <c r="BF2143">
        <v>0</v>
      </c>
      <c r="BG2143">
        <v>0</v>
      </c>
      <c r="BH2143">
        <v>1350</v>
      </c>
      <c r="BI2143">
        <v>1</v>
      </c>
      <c r="BJ2143">
        <v>1</v>
      </c>
      <c r="BK2143">
        <v>1</v>
      </c>
      <c r="BL2143">
        <v>0</v>
      </c>
      <c r="BO2143">
        <v>0</v>
      </c>
      <c r="BP2143">
        <v>0</v>
      </c>
      <c r="BW2143" t="str">
        <f>"14:53:50.238"</f>
        <v>14:53:50.238</v>
      </c>
      <c r="CJ2143">
        <v>2</v>
      </c>
      <c r="CK2143">
        <v>2</v>
      </c>
      <c r="CL2143">
        <v>0</v>
      </c>
      <c r="CM2143">
        <v>2</v>
      </c>
      <c r="CN2143">
        <v>0</v>
      </c>
      <c r="CO2143">
        <v>5</v>
      </c>
      <c r="CP2143" t="s">
        <v>119</v>
      </c>
      <c r="CQ2143">
        <v>232</v>
      </c>
      <c r="CR2143">
        <v>1</v>
      </c>
      <c r="CW2143">
        <v>15840874</v>
      </c>
      <c r="CY2143">
        <v>1</v>
      </c>
      <c r="CZ2143">
        <v>0</v>
      </c>
      <c r="DA2143">
        <v>1</v>
      </c>
      <c r="DB2143">
        <v>0</v>
      </c>
      <c r="DC2143">
        <v>0</v>
      </c>
      <c r="DD2143">
        <v>1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3">
      <c r="A2144" t="str">
        <f>"12/16/2021 14:53:50.462"</f>
        <v>12/16/2021 14:53:50.462</v>
      </c>
      <c r="C2144" t="str">
        <f t="shared" si="103"/>
        <v>FFDFD3C0</v>
      </c>
      <c r="D2144" t="s">
        <v>124</v>
      </c>
      <c r="E2144">
        <v>5</v>
      </c>
      <c r="F2144">
        <v>1005</v>
      </c>
      <c r="G2144" t="s">
        <v>114</v>
      </c>
      <c r="J2144" t="s">
        <v>125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>"14:53:50.234"</f>
        <v>14:53:50.234</v>
      </c>
      <c r="T2144" t="str">
        <f>"14:53:49.334"</f>
        <v>14:53:49.334</v>
      </c>
      <c r="U2144" t="str">
        <f t="shared" si="105"/>
        <v>A0F928</v>
      </c>
      <c r="V2144">
        <v>0</v>
      </c>
      <c r="W2144">
        <v>0</v>
      </c>
      <c r="X2144">
        <v>2</v>
      </c>
      <c r="Z2144">
        <v>0</v>
      </c>
      <c r="AA2144">
        <v>9</v>
      </c>
      <c r="AB2144">
        <v>3</v>
      </c>
      <c r="AC2144">
        <v>0</v>
      </c>
      <c r="AD2144">
        <v>10</v>
      </c>
      <c r="AE2144">
        <v>0</v>
      </c>
      <c r="AF2144">
        <v>3</v>
      </c>
      <c r="AG2144">
        <v>2</v>
      </c>
      <c r="AH2144">
        <v>1</v>
      </c>
      <c r="AI2144" t="s">
        <v>1119</v>
      </c>
      <c r="AJ2144">
        <v>35.849525999999997</v>
      </c>
      <c r="AK2144" t="s">
        <v>1120</v>
      </c>
      <c r="AL2144">
        <v>-83.958720999999997</v>
      </c>
      <c r="AM2144">
        <v>25</v>
      </c>
      <c r="AN2144">
        <v>1100</v>
      </c>
      <c r="AO2144" t="s">
        <v>118</v>
      </c>
      <c r="AP2144">
        <v>61</v>
      </c>
      <c r="AQ2144">
        <v>-80</v>
      </c>
      <c r="AR2144">
        <v>-192</v>
      </c>
      <c r="AZ2144">
        <v>300</v>
      </c>
      <c r="BA2144">
        <v>1</v>
      </c>
      <c r="BB2144" t="str">
        <f t="shared" si="104"/>
        <v xml:space="preserve">N162AM  </v>
      </c>
      <c r="BC2144">
        <v>1</v>
      </c>
      <c r="BE2144">
        <v>0</v>
      </c>
      <c r="BF2144">
        <v>0</v>
      </c>
      <c r="BG2144">
        <v>0</v>
      </c>
      <c r="BH2144">
        <v>1350</v>
      </c>
      <c r="BI2144">
        <v>1</v>
      </c>
      <c r="BJ2144">
        <v>1</v>
      </c>
      <c r="BK2144">
        <v>1</v>
      </c>
      <c r="BL2144">
        <v>0</v>
      </c>
      <c r="BO2144">
        <v>0</v>
      </c>
      <c r="BP2144">
        <v>0</v>
      </c>
      <c r="BW2144" t="str">
        <f>"14:53:50.238"</f>
        <v>14:53:50.238</v>
      </c>
      <c r="CJ2144">
        <v>3</v>
      </c>
      <c r="CK2144">
        <v>2</v>
      </c>
      <c r="CL2144">
        <v>0</v>
      </c>
      <c r="CM2144">
        <v>2</v>
      </c>
      <c r="CN2144">
        <v>0</v>
      </c>
      <c r="CO2144">
        <v>5</v>
      </c>
      <c r="CP2144" t="s">
        <v>119</v>
      </c>
      <c r="CQ2144">
        <v>232</v>
      </c>
      <c r="CR2144">
        <v>1</v>
      </c>
      <c r="CW2144">
        <v>15840874</v>
      </c>
      <c r="CY2144">
        <v>1</v>
      </c>
      <c r="CZ2144">
        <v>0</v>
      </c>
      <c r="DA2144">
        <v>1</v>
      </c>
      <c r="DB2144">
        <v>0</v>
      </c>
      <c r="DC2144">
        <v>0</v>
      </c>
      <c r="DD2144">
        <v>1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3">
      <c r="A2145" t="str">
        <f>"12/16/2021 14:53:50.540"</f>
        <v>12/16/2021 14:53:50.540</v>
      </c>
      <c r="C2145" t="str">
        <f t="shared" si="103"/>
        <v>FFDFD3C0</v>
      </c>
      <c r="D2145" t="s">
        <v>113</v>
      </c>
      <c r="E2145">
        <v>8</v>
      </c>
      <c r="H2145">
        <v>176</v>
      </c>
      <c r="I2145" t="s">
        <v>114</v>
      </c>
      <c r="J2145" t="s">
        <v>115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>"14:53:50.234"</f>
        <v>14:53:50.234</v>
      </c>
      <c r="T2145" t="str">
        <f>"14:53:49.334"</f>
        <v>14:53:49.334</v>
      </c>
      <c r="U2145" t="str">
        <f t="shared" si="105"/>
        <v>A0F928</v>
      </c>
      <c r="V2145">
        <v>0</v>
      </c>
      <c r="W2145">
        <v>0</v>
      </c>
      <c r="X2145">
        <v>2</v>
      </c>
      <c r="Z2145">
        <v>0</v>
      </c>
      <c r="AA2145">
        <v>9</v>
      </c>
      <c r="AB2145">
        <v>3</v>
      </c>
      <c r="AC2145">
        <v>0</v>
      </c>
      <c r="AD2145">
        <v>10</v>
      </c>
      <c r="AE2145">
        <v>0</v>
      </c>
      <c r="AF2145">
        <v>3</v>
      </c>
      <c r="AG2145">
        <v>2</v>
      </c>
      <c r="AH2145">
        <v>1</v>
      </c>
      <c r="AI2145" t="s">
        <v>1119</v>
      </c>
      <c r="AJ2145">
        <v>35.849525999999997</v>
      </c>
      <c r="AK2145" t="s">
        <v>1120</v>
      </c>
      <c r="AL2145">
        <v>-83.958720999999997</v>
      </c>
      <c r="AM2145">
        <v>25</v>
      </c>
      <c r="AN2145">
        <v>1100</v>
      </c>
      <c r="AO2145" t="s">
        <v>118</v>
      </c>
      <c r="AP2145">
        <v>61</v>
      </c>
      <c r="AQ2145">
        <v>-80</v>
      </c>
      <c r="AR2145">
        <v>-192</v>
      </c>
      <c r="AZ2145">
        <v>300</v>
      </c>
      <c r="BA2145">
        <v>1</v>
      </c>
      <c r="BB2145" t="str">
        <f t="shared" si="104"/>
        <v xml:space="preserve">N162AM  </v>
      </c>
      <c r="BC2145">
        <v>1</v>
      </c>
      <c r="BE2145">
        <v>0</v>
      </c>
      <c r="BF2145">
        <v>0</v>
      </c>
      <c r="BG2145">
        <v>0</v>
      </c>
      <c r="BH2145">
        <v>1350</v>
      </c>
      <c r="BI2145">
        <v>1</v>
      </c>
      <c r="BJ2145">
        <v>1</v>
      </c>
      <c r="BK2145">
        <v>1</v>
      </c>
      <c r="BL2145">
        <v>0</v>
      </c>
      <c r="BO2145">
        <v>0</v>
      </c>
      <c r="BP2145">
        <v>0</v>
      </c>
      <c r="BW2145" t="str">
        <f>"14:53:50.238"</f>
        <v>14:53:50.238</v>
      </c>
      <c r="CJ2145">
        <v>3</v>
      </c>
      <c r="CK2145">
        <v>2</v>
      </c>
      <c r="CL2145">
        <v>0</v>
      </c>
      <c r="CM2145">
        <v>2</v>
      </c>
      <c r="CN2145">
        <v>0</v>
      </c>
      <c r="CO2145">
        <v>5</v>
      </c>
      <c r="CP2145" t="s">
        <v>119</v>
      </c>
      <c r="CQ2145">
        <v>232</v>
      </c>
      <c r="CR2145">
        <v>1</v>
      </c>
      <c r="CW2145">
        <v>15840874</v>
      </c>
      <c r="CY2145">
        <v>1</v>
      </c>
      <c r="CZ2145">
        <v>0</v>
      </c>
      <c r="DA2145">
        <v>1</v>
      </c>
      <c r="DB2145">
        <v>0</v>
      </c>
      <c r="DC2145">
        <v>0</v>
      </c>
      <c r="DD2145">
        <v>1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3">
      <c r="A2146" t="str">
        <f>"12/16/2021 14:53:51.540"</f>
        <v>12/16/2021 14:53:51.540</v>
      </c>
      <c r="C2146" t="str">
        <f t="shared" si="103"/>
        <v>FFDFD3C0</v>
      </c>
      <c r="D2146" t="s">
        <v>124</v>
      </c>
      <c r="E2146">
        <v>5</v>
      </c>
      <c r="F2146">
        <v>1005</v>
      </c>
      <c r="G2146" t="s">
        <v>114</v>
      </c>
      <c r="J2146" t="s">
        <v>125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>"14:53:51.313"</f>
        <v>14:53:51.313</v>
      </c>
      <c r="T2146" t="str">
        <f>"14:53:49.413"</f>
        <v>14:53:49.413</v>
      </c>
      <c r="U2146" t="str">
        <f t="shared" si="105"/>
        <v>A0F928</v>
      </c>
      <c r="V2146">
        <v>0</v>
      </c>
      <c r="W2146">
        <v>0</v>
      </c>
      <c r="X2146">
        <v>2</v>
      </c>
      <c r="Z2146">
        <v>0</v>
      </c>
      <c r="AA2146">
        <v>9</v>
      </c>
      <c r="AB2146">
        <v>3</v>
      </c>
      <c r="AC2146">
        <v>0</v>
      </c>
      <c r="AD2146">
        <v>10</v>
      </c>
      <c r="AE2146">
        <v>0</v>
      </c>
      <c r="AF2146">
        <v>3</v>
      </c>
      <c r="AG2146">
        <v>2</v>
      </c>
      <c r="AH2146">
        <v>1</v>
      </c>
      <c r="AI2146" t="s">
        <v>1121</v>
      </c>
      <c r="AJ2146">
        <v>35.849139999999998</v>
      </c>
      <c r="AK2146" t="s">
        <v>1122</v>
      </c>
      <c r="AL2146">
        <v>-83.958335000000005</v>
      </c>
      <c r="AM2146">
        <v>25</v>
      </c>
      <c r="AN2146">
        <v>1100</v>
      </c>
      <c r="AO2146" t="s">
        <v>118</v>
      </c>
      <c r="AP2146">
        <v>61</v>
      </c>
      <c r="AQ2146">
        <v>-80</v>
      </c>
      <c r="AR2146">
        <v>-192</v>
      </c>
      <c r="AZ2146">
        <v>300</v>
      </c>
      <c r="BA2146">
        <v>1</v>
      </c>
      <c r="BB2146" t="str">
        <f t="shared" si="104"/>
        <v xml:space="preserve">N162AM  </v>
      </c>
      <c r="BC2146">
        <v>1</v>
      </c>
      <c r="BE2146">
        <v>0</v>
      </c>
      <c r="BF2146">
        <v>0</v>
      </c>
      <c r="BG2146">
        <v>0</v>
      </c>
      <c r="BH2146">
        <v>1350</v>
      </c>
      <c r="BI2146">
        <v>1</v>
      </c>
      <c r="BJ2146">
        <v>1</v>
      </c>
      <c r="BK2146">
        <v>1</v>
      </c>
      <c r="BL2146">
        <v>0</v>
      </c>
      <c r="BO2146">
        <v>0</v>
      </c>
      <c r="BP2146">
        <v>0</v>
      </c>
      <c r="BW2146" t="str">
        <f>"14:53:51.319"</f>
        <v>14:53:51.319</v>
      </c>
      <c r="CJ2146">
        <v>3</v>
      </c>
      <c r="CK2146">
        <v>2</v>
      </c>
      <c r="CL2146">
        <v>0</v>
      </c>
      <c r="CM2146">
        <v>2</v>
      </c>
      <c r="CN2146">
        <v>0</v>
      </c>
      <c r="CO2146">
        <v>5</v>
      </c>
      <c r="CP2146" t="s">
        <v>119</v>
      </c>
      <c r="CQ2146">
        <v>232</v>
      </c>
      <c r="CR2146">
        <v>1</v>
      </c>
      <c r="CW2146">
        <v>15842500</v>
      </c>
      <c r="CY2146">
        <v>1</v>
      </c>
      <c r="CZ2146">
        <v>0</v>
      </c>
      <c r="DA2146">
        <v>0</v>
      </c>
      <c r="DB2146">
        <v>0</v>
      </c>
      <c r="DC2146">
        <v>0</v>
      </c>
      <c r="DD2146">
        <v>1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3">
      <c r="A2147" t="str">
        <f>"12/16/2021 14:53:51.555"</f>
        <v>12/16/2021 14:53:51.555</v>
      </c>
      <c r="C2147" t="str">
        <f t="shared" si="103"/>
        <v>FFDFD3C0</v>
      </c>
      <c r="D2147" t="s">
        <v>113</v>
      </c>
      <c r="E2147">
        <v>8</v>
      </c>
      <c r="H2147">
        <v>176</v>
      </c>
      <c r="I2147" t="s">
        <v>114</v>
      </c>
      <c r="J2147" t="s">
        <v>115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>"14:53:51.313"</f>
        <v>14:53:51.313</v>
      </c>
      <c r="T2147" t="str">
        <f>"14:53:49.413"</f>
        <v>14:53:49.413</v>
      </c>
      <c r="U2147" t="str">
        <f t="shared" si="105"/>
        <v>A0F928</v>
      </c>
      <c r="V2147">
        <v>0</v>
      </c>
      <c r="W2147">
        <v>0</v>
      </c>
      <c r="X2147">
        <v>2</v>
      </c>
      <c r="Z2147">
        <v>0</v>
      </c>
      <c r="AA2147">
        <v>9</v>
      </c>
      <c r="AB2147">
        <v>3</v>
      </c>
      <c r="AC2147">
        <v>0</v>
      </c>
      <c r="AD2147">
        <v>10</v>
      </c>
      <c r="AE2147">
        <v>0</v>
      </c>
      <c r="AF2147">
        <v>3</v>
      </c>
      <c r="AG2147">
        <v>2</v>
      </c>
      <c r="AH2147">
        <v>1</v>
      </c>
      <c r="AI2147" t="s">
        <v>1121</v>
      </c>
      <c r="AJ2147">
        <v>35.849139999999998</v>
      </c>
      <c r="AK2147" t="s">
        <v>1122</v>
      </c>
      <c r="AL2147">
        <v>-83.958335000000005</v>
      </c>
      <c r="AM2147">
        <v>25</v>
      </c>
      <c r="AN2147">
        <v>1100</v>
      </c>
      <c r="AO2147" t="s">
        <v>118</v>
      </c>
      <c r="AP2147">
        <v>61</v>
      </c>
      <c r="AQ2147">
        <v>-80</v>
      </c>
      <c r="AR2147">
        <v>-192</v>
      </c>
      <c r="AZ2147">
        <v>300</v>
      </c>
      <c r="BA2147">
        <v>1</v>
      </c>
      <c r="BB2147" t="str">
        <f t="shared" si="104"/>
        <v xml:space="preserve">N162AM  </v>
      </c>
      <c r="BC2147">
        <v>1</v>
      </c>
      <c r="BE2147">
        <v>0</v>
      </c>
      <c r="BF2147">
        <v>0</v>
      </c>
      <c r="BG2147">
        <v>0</v>
      </c>
      <c r="BH2147">
        <v>1350</v>
      </c>
      <c r="BI2147">
        <v>1</v>
      </c>
      <c r="BJ2147">
        <v>1</v>
      </c>
      <c r="BK2147">
        <v>1</v>
      </c>
      <c r="BL2147">
        <v>0</v>
      </c>
      <c r="BO2147">
        <v>0</v>
      </c>
      <c r="BP2147">
        <v>0</v>
      </c>
      <c r="BW2147" t="str">
        <f>"14:53:51.319"</f>
        <v>14:53:51.319</v>
      </c>
      <c r="CJ2147">
        <v>3</v>
      </c>
      <c r="CK2147">
        <v>2</v>
      </c>
      <c r="CL2147">
        <v>0</v>
      </c>
      <c r="CM2147">
        <v>2</v>
      </c>
      <c r="CN2147">
        <v>0</v>
      </c>
      <c r="CO2147">
        <v>5</v>
      </c>
      <c r="CP2147" t="s">
        <v>119</v>
      </c>
      <c r="CQ2147">
        <v>232</v>
      </c>
      <c r="CR2147">
        <v>1</v>
      </c>
      <c r="CW2147">
        <v>15842500</v>
      </c>
      <c r="CY2147">
        <v>1</v>
      </c>
      <c r="CZ2147">
        <v>0</v>
      </c>
      <c r="DA2147">
        <v>1</v>
      </c>
      <c r="DB2147">
        <v>0</v>
      </c>
      <c r="DC2147">
        <v>0</v>
      </c>
      <c r="DD2147">
        <v>1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3">
      <c r="A2148" t="str">
        <f>"12/16/2021 14:53:51.555"</f>
        <v>12/16/2021 14:53:51.555</v>
      </c>
      <c r="C2148" t="str">
        <f t="shared" si="103"/>
        <v>FFDFD3C0</v>
      </c>
      <c r="D2148" t="s">
        <v>124</v>
      </c>
      <c r="E2148">
        <v>10</v>
      </c>
      <c r="F2148">
        <v>1010</v>
      </c>
      <c r="G2148" t="s">
        <v>130</v>
      </c>
      <c r="J2148" t="s">
        <v>125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>"14:53:51.313"</f>
        <v>14:53:51.313</v>
      </c>
      <c r="T2148" t="str">
        <f>"14:53:49.413"</f>
        <v>14:53:49.413</v>
      </c>
      <c r="U2148" t="str">
        <f t="shared" si="105"/>
        <v>A0F928</v>
      </c>
      <c r="V2148">
        <v>0</v>
      </c>
      <c r="W2148">
        <v>0</v>
      </c>
      <c r="X2148">
        <v>2</v>
      </c>
      <c r="Z2148">
        <v>0</v>
      </c>
      <c r="AA2148">
        <v>9</v>
      </c>
      <c r="AB2148">
        <v>3</v>
      </c>
      <c r="AC2148">
        <v>0</v>
      </c>
      <c r="AD2148">
        <v>10</v>
      </c>
      <c r="AE2148">
        <v>0</v>
      </c>
      <c r="AF2148">
        <v>0</v>
      </c>
      <c r="AG2148">
        <v>2</v>
      </c>
      <c r="AH2148">
        <v>1</v>
      </c>
      <c r="AI2148" t="s">
        <v>1121</v>
      </c>
      <c r="AJ2148">
        <v>35.849139999999998</v>
      </c>
      <c r="AK2148" t="s">
        <v>1122</v>
      </c>
      <c r="AL2148">
        <v>-83.958335000000005</v>
      </c>
      <c r="AM2148">
        <v>25</v>
      </c>
      <c r="AN2148">
        <v>1100</v>
      </c>
      <c r="AO2148" t="s">
        <v>118</v>
      </c>
      <c r="AP2148">
        <v>61</v>
      </c>
      <c r="AQ2148">
        <v>-80</v>
      </c>
      <c r="AR2148">
        <v>-192</v>
      </c>
      <c r="AZ2148">
        <v>300</v>
      </c>
      <c r="BA2148">
        <v>1</v>
      </c>
      <c r="BB2148" t="str">
        <f t="shared" si="104"/>
        <v xml:space="preserve">N162AM  </v>
      </c>
      <c r="BC2148">
        <v>1</v>
      </c>
      <c r="BE2148">
        <v>0</v>
      </c>
      <c r="BF2148">
        <v>0</v>
      </c>
      <c r="BG2148">
        <v>0</v>
      </c>
      <c r="BH2148">
        <v>1350</v>
      </c>
      <c r="BI2148">
        <v>1</v>
      </c>
      <c r="BJ2148">
        <v>1</v>
      </c>
      <c r="BK2148">
        <v>1</v>
      </c>
      <c r="BL2148">
        <v>0</v>
      </c>
      <c r="BO2148">
        <v>0</v>
      </c>
      <c r="BP2148">
        <v>0</v>
      </c>
      <c r="BW2148" t="str">
        <f>"14:53:51.319"</f>
        <v>14:53:51.319</v>
      </c>
      <c r="CJ2148">
        <v>2</v>
      </c>
      <c r="CK2148">
        <v>2</v>
      </c>
      <c r="CL2148">
        <v>0</v>
      </c>
      <c r="CM2148">
        <v>2</v>
      </c>
      <c r="CN2148">
        <v>0</v>
      </c>
      <c r="CO2148">
        <v>5</v>
      </c>
      <c r="CP2148" t="s">
        <v>119</v>
      </c>
      <c r="CQ2148">
        <v>232</v>
      </c>
      <c r="CR2148">
        <v>1</v>
      </c>
      <c r="CW2148">
        <v>15842500</v>
      </c>
      <c r="CY2148">
        <v>1</v>
      </c>
      <c r="CZ2148">
        <v>0</v>
      </c>
      <c r="DA2148">
        <v>1</v>
      </c>
      <c r="DB2148">
        <v>0</v>
      </c>
      <c r="DC2148">
        <v>0</v>
      </c>
      <c r="DD2148">
        <v>1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3">
      <c r="A2149" t="str">
        <f>"12/16/2021 14:53:51.555"</f>
        <v>12/16/2021 14:53:51.555</v>
      </c>
      <c r="C2149" t="str">
        <f t="shared" si="103"/>
        <v>FFDFD3C0</v>
      </c>
      <c r="D2149" t="s">
        <v>133</v>
      </c>
      <c r="E2149">
        <v>44</v>
      </c>
      <c r="H2149">
        <v>131</v>
      </c>
      <c r="I2149" t="s">
        <v>134</v>
      </c>
      <c r="J2149" t="s">
        <v>135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>"14:53:51.313"</f>
        <v>14:53:51.313</v>
      </c>
      <c r="T2149" t="str">
        <f>"14:53:49.413"</f>
        <v>14:53:49.413</v>
      </c>
      <c r="U2149" t="str">
        <f t="shared" si="105"/>
        <v>A0F928</v>
      </c>
      <c r="V2149">
        <v>0</v>
      </c>
      <c r="W2149">
        <v>0</v>
      </c>
      <c r="X2149">
        <v>2</v>
      </c>
      <c r="Z2149">
        <v>0</v>
      </c>
      <c r="AA2149">
        <v>9</v>
      </c>
      <c r="AB2149">
        <v>3</v>
      </c>
      <c r="AC2149">
        <v>0</v>
      </c>
      <c r="AD2149">
        <v>10</v>
      </c>
      <c r="AE2149">
        <v>0</v>
      </c>
      <c r="AF2149">
        <v>3</v>
      </c>
      <c r="AG2149">
        <v>2</v>
      </c>
      <c r="AH2149">
        <v>1</v>
      </c>
      <c r="AI2149" t="s">
        <v>1121</v>
      </c>
      <c r="AJ2149">
        <v>35.849139999999998</v>
      </c>
      <c r="AK2149" t="s">
        <v>1122</v>
      </c>
      <c r="AL2149">
        <v>-83.958335000000005</v>
      </c>
      <c r="AM2149">
        <v>25</v>
      </c>
      <c r="AN2149">
        <v>1100</v>
      </c>
      <c r="AO2149" t="s">
        <v>118</v>
      </c>
      <c r="AP2149">
        <v>61</v>
      </c>
      <c r="AQ2149">
        <v>-80</v>
      </c>
      <c r="AR2149">
        <v>-192</v>
      </c>
      <c r="AZ2149">
        <v>300</v>
      </c>
      <c r="BA2149">
        <v>1</v>
      </c>
      <c r="BB2149" t="str">
        <f t="shared" si="104"/>
        <v xml:space="preserve">N162AM  </v>
      </c>
      <c r="BC2149">
        <v>1</v>
      </c>
      <c r="BE2149">
        <v>0</v>
      </c>
      <c r="BF2149">
        <v>0</v>
      </c>
      <c r="BG2149">
        <v>0</v>
      </c>
      <c r="BH2149">
        <v>1350</v>
      </c>
      <c r="BI2149">
        <v>1</v>
      </c>
      <c r="BJ2149">
        <v>1</v>
      </c>
      <c r="BK2149">
        <v>1</v>
      </c>
      <c r="BL2149">
        <v>0</v>
      </c>
      <c r="BO2149">
        <v>0</v>
      </c>
      <c r="BP2149">
        <v>0</v>
      </c>
      <c r="BW2149" t="str">
        <f>"14:53:51.319"</f>
        <v>14:53:51.319</v>
      </c>
      <c r="CJ2149">
        <v>3</v>
      </c>
      <c r="CK2149">
        <v>2</v>
      </c>
      <c r="CL2149">
        <v>0</v>
      </c>
      <c r="CM2149">
        <v>2</v>
      </c>
      <c r="CN2149">
        <v>0</v>
      </c>
      <c r="CO2149">
        <v>5</v>
      </c>
      <c r="CP2149" t="s">
        <v>119</v>
      </c>
      <c r="CQ2149">
        <v>232</v>
      </c>
      <c r="CR2149">
        <v>1</v>
      </c>
      <c r="CW2149">
        <v>15842500</v>
      </c>
      <c r="CY2149">
        <v>1</v>
      </c>
      <c r="CZ2149">
        <v>0</v>
      </c>
      <c r="DA2149">
        <v>1</v>
      </c>
      <c r="DB2149">
        <v>0</v>
      </c>
      <c r="DC2149">
        <v>0</v>
      </c>
      <c r="DD2149">
        <v>1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3">
      <c r="A2150" t="str">
        <f>"12/16/2021 14:53:52.571"</f>
        <v>12/16/2021 14:53:52.571</v>
      </c>
      <c r="C2150" t="str">
        <f t="shared" si="103"/>
        <v>FFDFD3C0</v>
      </c>
      <c r="D2150" t="s">
        <v>113</v>
      </c>
      <c r="E2150">
        <v>8</v>
      </c>
      <c r="H2150">
        <v>176</v>
      </c>
      <c r="I2150" t="s">
        <v>114</v>
      </c>
      <c r="J2150" t="s">
        <v>115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>"14:53:52.336"</f>
        <v>14:53:52.336</v>
      </c>
      <c r="T2150" t="str">
        <f>"14:53:51.836"</f>
        <v>14:53:51.836</v>
      </c>
      <c r="U2150" t="str">
        <f t="shared" si="105"/>
        <v>A0F928</v>
      </c>
      <c r="V2150">
        <v>0</v>
      </c>
      <c r="W2150">
        <v>0</v>
      </c>
      <c r="X2150">
        <v>2</v>
      </c>
      <c r="Z2150">
        <v>0</v>
      </c>
      <c r="AA2150">
        <v>9</v>
      </c>
      <c r="AB2150">
        <v>3</v>
      </c>
      <c r="AC2150">
        <v>0</v>
      </c>
      <c r="AD2150">
        <v>10</v>
      </c>
      <c r="AE2150">
        <v>0</v>
      </c>
      <c r="AF2150">
        <v>3</v>
      </c>
      <c r="AG2150">
        <v>2</v>
      </c>
      <c r="AH2150">
        <v>1</v>
      </c>
      <c r="AI2150" t="s">
        <v>1123</v>
      </c>
      <c r="AJ2150">
        <v>35.848753000000002</v>
      </c>
      <c r="AK2150" t="s">
        <v>649</v>
      </c>
      <c r="AL2150">
        <v>-83.957992000000004</v>
      </c>
      <c r="AM2150">
        <v>25</v>
      </c>
      <c r="AN2150">
        <v>1100</v>
      </c>
      <c r="AO2150" t="s">
        <v>118</v>
      </c>
      <c r="AP2150">
        <v>59</v>
      </c>
      <c r="AQ2150">
        <v>-79</v>
      </c>
      <c r="AR2150">
        <v>-64</v>
      </c>
      <c r="AZ2150">
        <v>300</v>
      </c>
      <c r="BA2150">
        <v>1</v>
      </c>
      <c r="BB2150" t="str">
        <f t="shared" si="104"/>
        <v xml:space="preserve">N162AM  </v>
      </c>
      <c r="BC2150">
        <v>1</v>
      </c>
      <c r="BE2150">
        <v>0</v>
      </c>
      <c r="BF2150">
        <v>0</v>
      </c>
      <c r="BG2150">
        <v>0</v>
      </c>
      <c r="BH2150">
        <v>1350</v>
      </c>
      <c r="BI2150">
        <v>1</v>
      </c>
      <c r="BJ2150">
        <v>1</v>
      </c>
      <c r="BK2150">
        <v>1</v>
      </c>
      <c r="BL2150">
        <v>0</v>
      </c>
      <c r="BO2150">
        <v>0</v>
      </c>
      <c r="BP2150">
        <v>0</v>
      </c>
      <c r="BW2150" t="str">
        <f>"14:53:52.340"</f>
        <v>14:53:52.340</v>
      </c>
      <c r="CJ2150">
        <v>3</v>
      </c>
      <c r="CK2150">
        <v>2</v>
      </c>
      <c r="CL2150">
        <v>0</v>
      </c>
      <c r="CM2150">
        <v>2</v>
      </c>
      <c r="CN2150">
        <v>0</v>
      </c>
      <c r="CO2150">
        <v>5</v>
      </c>
      <c r="CP2150" t="s">
        <v>119</v>
      </c>
      <c r="CQ2150">
        <v>232</v>
      </c>
      <c r="CR2150">
        <v>1</v>
      </c>
      <c r="CW2150">
        <v>15843984</v>
      </c>
      <c r="CY2150">
        <v>1</v>
      </c>
      <c r="CZ2150">
        <v>0</v>
      </c>
      <c r="DA2150">
        <v>0</v>
      </c>
      <c r="DB2150">
        <v>0</v>
      </c>
      <c r="DC2150">
        <v>0</v>
      </c>
      <c r="DD2150">
        <v>1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3">
      <c r="A2151" t="str">
        <f>"12/16/2021 14:53:52.571"</f>
        <v>12/16/2021 14:53:52.571</v>
      </c>
      <c r="C2151" t="str">
        <f t="shared" si="103"/>
        <v>FFDFD3C0</v>
      </c>
      <c r="D2151" t="s">
        <v>124</v>
      </c>
      <c r="E2151">
        <v>10</v>
      </c>
      <c r="F2151">
        <v>1010</v>
      </c>
      <c r="G2151" t="s">
        <v>130</v>
      </c>
      <c r="J2151" t="s">
        <v>125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>"14:53:52.336"</f>
        <v>14:53:52.336</v>
      </c>
      <c r="T2151" t="str">
        <f>"14:53:51.836"</f>
        <v>14:53:51.836</v>
      </c>
      <c r="U2151" t="str">
        <f t="shared" si="105"/>
        <v>A0F928</v>
      </c>
      <c r="V2151">
        <v>0</v>
      </c>
      <c r="W2151">
        <v>0</v>
      </c>
      <c r="X2151">
        <v>2</v>
      </c>
      <c r="Z2151">
        <v>0</v>
      </c>
      <c r="AA2151">
        <v>9</v>
      </c>
      <c r="AB2151">
        <v>3</v>
      </c>
      <c r="AC2151">
        <v>0</v>
      </c>
      <c r="AD2151">
        <v>10</v>
      </c>
      <c r="AE2151">
        <v>0</v>
      </c>
      <c r="AF2151">
        <v>0</v>
      </c>
      <c r="AG2151">
        <v>2</v>
      </c>
      <c r="AH2151">
        <v>1</v>
      </c>
      <c r="AI2151" t="s">
        <v>1123</v>
      </c>
      <c r="AJ2151">
        <v>35.848753000000002</v>
      </c>
      <c r="AK2151" t="s">
        <v>649</v>
      </c>
      <c r="AL2151">
        <v>-83.957992000000004</v>
      </c>
      <c r="AM2151">
        <v>25</v>
      </c>
      <c r="AN2151">
        <v>1100</v>
      </c>
      <c r="AO2151" t="s">
        <v>118</v>
      </c>
      <c r="AP2151">
        <v>59</v>
      </c>
      <c r="AQ2151">
        <v>-79</v>
      </c>
      <c r="AR2151">
        <v>-64</v>
      </c>
      <c r="AZ2151">
        <v>300</v>
      </c>
      <c r="BA2151">
        <v>1</v>
      </c>
      <c r="BB2151" t="str">
        <f t="shared" si="104"/>
        <v xml:space="preserve">N162AM  </v>
      </c>
      <c r="BC2151">
        <v>1</v>
      </c>
      <c r="BE2151">
        <v>0</v>
      </c>
      <c r="BF2151">
        <v>0</v>
      </c>
      <c r="BG2151">
        <v>0</v>
      </c>
      <c r="BH2151">
        <v>1350</v>
      </c>
      <c r="BI2151">
        <v>1</v>
      </c>
      <c r="BJ2151">
        <v>1</v>
      </c>
      <c r="BK2151">
        <v>1</v>
      </c>
      <c r="BL2151">
        <v>0</v>
      </c>
      <c r="BO2151">
        <v>0</v>
      </c>
      <c r="BP2151">
        <v>0</v>
      </c>
      <c r="BW2151" t="str">
        <f>"14:53:52.340"</f>
        <v>14:53:52.340</v>
      </c>
      <c r="CJ2151">
        <v>2</v>
      </c>
      <c r="CK2151">
        <v>2</v>
      </c>
      <c r="CL2151">
        <v>0</v>
      </c>
      <c r="CM2151">
        <v>2</v>
      </c>
      <c r="CN2151">
        <v>0</v>
      </c>
      <c r="CO2151">
        <v>5</v>
      </c>
      <c r="CP2151" t="s">
        <v>119</v>
      </c>
      <c r="CQ2151">
        <v>232</v>
      </c>
      <c r="CR2151">
        <v>1</v>
      </c>
      <c r="CW2151">
        <v>15843984</v>
      </c>
      <c r="CY2151">
        <v>1</v>
      </c>
      <c r="CZ2151">
        <v>0</v>
      </c>
      <c r="DA2151">
        <v>1</v>
      </c>
      <c r="DB2151">
        <v>0</v>
      </c>
      <c r="DC2151">
        <v>0</v>
      </c>
      <c r="DD2151">
        <v>1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3">
      <c r="A2152" t="str">
        <f>"12/16/2021 14:53:52.571"</f>
        <v>12/16/2021 14:53:52.571</v>
      </c>
      <c r="C2152" t="str">
        <f t="shared" si="103"/>
        <v>FFDFD3C0</v>
      </c>
      <c r="D2152" t="s">
        <v>133</v>
      </c>
      <c r="E2152">
        <v>44</v>
      </c>
      <c r="H2152">
        <v>131</v>
      </c>
      <c r="I2152" t="s">
        <v>134</v>
      </c>
      <c r="J2152" t="s">
        <v>135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>"14:53:52.336"</f>
        <v>14:53:52.336</v>
      </c>
      <c r="T2152" t="str">
        <f>"14:53:51.836"</f>
        <v>14:53:51.836</v>
      </c>
      <c r="U2152" t="str">
        <f t="shared" si="105"/>
        <v>A0F928</v>
      </c>
      <c r="V2152">
        <v>0</v>
      </c>
      <c r="W2152">
        <v>0</v>
      </c>
      <c r="X2152">
        <v>2</v>
      </c>
      <c r="Z2152">
        <v>0</v>
      </c>
      <c r="AA2152">
        <v>9</v>
      </c>
      <c r="AB2152">
        <v>3</v>
      </c>
      <c r="AC2152">
        <v>0</v>
      </c>
      <c r="AD2152">
        <v>10</v>
      </c>
      <c r="AE2152">
        <v>0</v>
      </c>
      <c r="AF2152">
        <v>3</v>
      </c>
      <c r="AG2152">
        <v>2</v>
      </c>
      <c r="AH2152">
        <v>1</v>
      </c>
      <c r="AI2152" t="s">
        <v>1123</v>
      </c>
      <c r="AJ2152">
        <v>35.848753000000002</v>
      </c>
      <c r="AK2152" t="s">
        <v>649</v>
      </c>
      <c r="AL2152">
        <v>-83.957992000000004</v>
      </c>
      <c r="AM2152">
        <v>25</v>
      </c>
      <c r="AN2152">
        <v>1100</v>
      </c>
      <c r="AO2152" t="s">
        <v>118</v>
      </c>
      <c r="AP2152">
        <v>59</v>
      </c>
      <c r="AQ2152">
        <v>-79</v>
      </c>
      <c r="AR2152">
        <v>-64</v>
      </c>
      <c r="AZ2152">
        <v>300</v>
      </c>
      <c r="BA2152">
        <v>1</v>
      </c>
      <c r="BB2152" t="str">
        <f t="shared" si="104"/>
        <v xml:space="preserve">N162AM  </v>
      </c>
      <c r="BC2152">
        <v>1</v>
      </c>
      <c r="BE2152">
        <v>0</v>
      </c>
      <c r="BF2152">
        <v>0</v>
      </c>
      <c r="BG2152">
        <v>0</v>
      </c>
      <c r="BH2152">
        <v>1350</v>
      </c>
      <c r="BI2152">
        <v>1</v>
      </c>
      <c r="BJ2152">
        <v>1</v>
      </c>
      <c r="BK2152">
        <v>1</v>
      </c>
      <c r="BL2152">
        <v>0</v>
      </c>
      <c r="BO2152">
        <v>0</v>
      </c>
      <c r="BP2152">
        <v>0</v>
      </c>
      <c r="BW2152" t="str">
        <f>"14:53:52.340"</f>
        <v>14:53:52.340</v>
      </c>
      <c r="CJ2152">
        <v>3</v>
      </c>
      <c r="CK2152">
        <v>2</v>
      </c>
      <c r="CL2152">
        <v>0</v>
      </c>
      <c r="CM2152">
        <v>2</v>
      </c>
      <c r="CN2152">
        <v>0</v>
      </c>
      <c r="CO2152">
        <v>5</v>
      </c>
      <c r="CP2152" t="s">
        <v>119</v>
      </c>
      <c r="CQ2152">
        <v>232</v>
      </c>
      <c r="CR2152">
        <v>1</v>
      </c>
      <c r="CW2152">
        <v>15843984</v>
      </c>
      <c r="CY2152">
        <v>1</v>
      </c>
      <c r="CZ2152">
        <v>0</v>
      </c>
      <c r="DA2152">
        <v>1</v>
      </c>
      <c r="DB2152">
        <v>0</v>
      </c>
      <c r="DC2152">
        <v>0</v>
      </c>
      <c r="DD2152">
        <v>1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3">
      <c r="A2153" t="str">
        <f>"12/16/2021 14:53:52.571"</f>
        <v>12/16/2021 14:53:52.571</v>
      </c>
      <c r="C2153" t="str">
        <f t="shared" si="103"/>
        <v>FFDFD3C0</v>
      </c>
      <c r="D2153" t="s">
        <v>124</v>
      </c>
      <c r="E2153">
        <v>5</v>
      </c>
      <c r="F2153">
        <v>1005</v>
      </c>
      <c r="G2153" t="s">
        <v>114</v>
      </c>
      <c r="J2153" t="s">
        <v>125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>"14:53:52.336"</f>
        <v>14:53:52.336</v>
      </c>
      <c r="T2153" t="str">
        <f>"14:53:51.836"</f>
        <v>14:53:51.836</v>
      </c>
      <c r="U2153" t="str">
        <f t="shared" si="105"/>
        <v>A0F928</v>
      </c>
      <c r="V2153">
        <v>0</v>
      </c>
      <c r="W2153">
        <v>0</v>
      </c>
      <c r="X2153">
        <v>2</v>
      </c>
      <c r="Z2153">
        <v>0</v>
      </c>
      <c r="AA2153">
        <v>9</v>
      </c>
      <c r="AB2153">
        <v>3</v>
      </c>
      <c r="AC2153">
        <v>0</v>
      </c>
      <c r="AD2153">
        <v>10</v>
      </c>
      <c r="AE2153">
        <v>0</v>
      </c>
      <c r="AF2153">
        <v>3</v>
      </c>
      <c r="AG2153">
        <v>2</v>
      </c>
      <c r="AH2153">
        <v>1</v>
      </c>
      <c r="AI2153" t="s">
        <v>1123</v>
      </c>
      <c r="AJ2153">
        <v>35.848753000000002</v>
      </c>
      <c r="AK2153" t="s">
        <v>649</v>
      </c>
      <c r="AL2153">
        <v>-83.957992000000004</v>
      </c>
      <c r="AM2153">
        <v>25</v>
      </c>
      <c r="AN2153">
        <v>1100</v>
      </c>
      <c r="AO2153" t="s">
        <v>118</v>
      </c>
      <c r="AP2153">
        <v>59</v>
      </c>
      <c r="AQ2153">
        <v>-79</v>
      </c>
      <c r="AR2153">
        <v>-64</v>
      </c>
      <c r="AZ2153">
        <v>300</v>
      </c>
      <c r="BA2153">
        <v>1</v>
      </c>
      <c r="BB2153" t="str">
        <f t="shared" si="104"/>
        <v xml:space="preserve">N162AM  </v>
      </c>
      <c r="BC2153">
        <v>1</v>
      </c>
      <c r="BE2153">
        <v>0</v>
      </c>
      <c r="BF2153">
        <v>0</v>
      </c>
      <c r="BG2153">
        <v>0</v>
      </c>
      <c r="BH2153">
        <v>1350</v>
      </c>
      <c r="BI2153">
        <v>1</v>
      </c>
      <c r="BJ2153">
        <v>1</v>
      </c>
      <c r="BK2153">
        <v>1</v>
      </c>
      <c r="BL2153">
        <v>0</v>
      </c>
      <c r="BO2153">
        <v>0</v>
      </c>
      <c r="BP2153">
        <v>0</v>
      </c>
      <c r="BW2153" t="str">
        <f>"14:53:52.340"</f>
        <v>14:53:52.340</v>
      </c>
      <c r="CJ2153">
        <v>3</v>
      </c>
      <c r="CK2153">
        <v>2</v>
      </c>
      <c r="CL2153">
        <v>0</v>
      </c>
      <c r="CM2153">
        <v>2</v>
      </c>
      <c r="CN2153">
        <v>0</v>
      </c>
      <c r="CO2153">
        <v>5</v>
      </c>
      <c r="CP2153" t="s">
        <v>119</v>
      </c>
      <c r="CQ2153">
        <v>232</v>
      </c>
      <c r="CR2153">
        <v>1</v>
      </c>
      <c r="CW2153">
        <v>15843984</v>
      </c>
      <c r="CY2153">
        <v>1</v>
      </c>
      <c r="CZ2153">
        <v>0</v>
      </c>
      <c r="DA2153">
        <v>1</v>
      </c>
      <c r="DB2153">
        <v>0</v>
      </c>
      <c r="DC2153">
        <v>0</v>
      </c>
      <c r="DD2153">
        <v>1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3">
      <c r="A2154" t="str">
        <f>"12/16/2021 14:53:53.571"</f>
        <v>12/16/2021 14:53:53.571</v>
      </c>
      <c r="C2154" t="str">
        <f t="shared" si="103"/>
        <v>FFDFD3C0</v>
      </c>
      <c r="D2154" t="s">
        <v>133</v>
      </c>
      <c r="E2154">
        <v>44</v>
      </c>
      <c r="H2154">
        <v>131</v>
      </c>
      <c r="I2154" t="s">
        <v>134</v>
      </c>
      <c r="J2154" t="s">
        <v>135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>"14:53:53.344"</f>
        <v>14:53:53.344</v>
      </c>
      <c r="T2154" t="str">
        <f>"14:53:52.944"</f>
        <v>14:53:52.944</v>
      </c>
      <c r="U2154" t="str">
        <f t="shared" si="105"/>
        <v>A0F928</v>
      </c>
      <c r="V2154">
        <v>0</v>
      </c>
      <c r="W2154">
        <v>0</v>
      </c>
      <c r="X2154">
        <v>2</v>
      </c>
      <c r="Z2154">
        <v>0</v>
      </c>
      <c r="AA2154">
        <v>9</v>
      </c>
      <c r="AB2154">
        <v>3</v>
      </c>
      <c r="AC2154">
        <v>0</v>
      </c>
      <c r="AD2154">
        <v>10</v>
      </c>
      <c r="AE2154">
        <v>0</v>
      </c>
      <c r="AF2154">
        <v>3</v>
      </c>
      <c r="AG2154">
        <v>2</v>
      </c>
      <c r="AH2154">
        <v>1</v>
      </c>
      <c r="AI2154" t="s">
        <v>1124</v>
      </c>
      <c r="AJ2154">
        <v>35.848388999999997</v>
      </c>
      <c r="AK2154" t="s">
        <v>1125</v>
      </c>
      <c r="AL2154">
        <v>-83.957690999999997</v>
      </c>
      <c r="AM2154">
        <v>25</v>
      </c>
      <c r="AN2154">
        <v>1100</v>
      </c>
      <c r="AO2154" t="s">
        <v>118</v>
      </c>
      <c r="AP2154">
        <v>58</v>
      </c>
      <c r="AQ2154">
        <v>-78</v>
      </c>
      <c r="AR2154">
        <v>-64</v>
      </c>
      <c r="AZ2154">
        <v>300</v>
      </c>
      <c r="BA2154">
        <v>1</v>
      </c>
      <c r="BB2154" t="str">
        <f t="shared" si="104"/>
        <v xml:space="preserve">N162AM  </v>
      </c>
      <c r="BC2154">
        <v>1</v>
      </c>
      <c r="BE2154">
        <v>0</v>
      </c>
      <c r="BF2154">
        <v>0</v>
      </c>
      <c r="BG2154">
        <v>0</v>
      </c>
      <c r="BH2154">
        <v>1375</v>
      </c>
      <c r="BI2154">
        <v>1</v>
      </c>
      <c r="BJ2154">
        <v>1</v>
      </c>
      <c r="BK2154">
        <v>1</v>
      </c>
      <c r="BL2154">
        <v>0</v>
      </c>
      <c r="BO2154">
        <v>0</v>
      </c>
      <c r="BP2154">
        <v>0</v>
      </c>
      <c r="BW2154" t="str">
        <f>"14:53:53.346"</f>
        <v>14:53:53.346</v>
      </c>
      <c r="CJ2154">
        <v>3</v>
      </c>
      <c r="CK2154">
        <v>2</v>
      </c>
      <c r="CL2154">
        <v>0</v>
      </c>
      <c r="CM2154">
        <v>2</v>
      </c>
      <c r="CN2154">
        <v>0</v>
      </c>
      <c r="CO2154">
        <v>4</v>
      </c>
      <c r="CP2154" t="s">
        <v>119</v>
      </c>
      <c r="CQ2154">
        <v>232</v>
      </c>
      <c r="CR2154">
        <v>1</v>
      </c>
      <c r="CW2154">
        <v>15845426</v>
      </c>
      <c r="CY2154">
        <v>1</v>
      </c>
      <c r="CZ2154">
        <v>0</v>
      </c>
      <c r="DA2154">
        <v>0</v>
      </c>
      <c r="DB2154">
        <v>0</v>
      </c>
      <c r="DC2154">
        <v>0</v>
      </c>
      <c r="DD2154">
        <v>1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3">
      <c r="A2155" t="str">
        <f>"12/16/2021 14:53:53.571"</f>
        <v>12/16/2021 14:53:53.571</v>
      </c>
      <c r="C2155" t="str">
        <f t="shared" si="103"/>
        <v>FFDFD3C0</v>
      </c>
      <c r="D2155" t="s">
        <v>124</v>
      </c>
      <c r="E2155">
        <v>5</v>
      </c>
      <c r="F2155">
        <v>1005</v>
      </c>
      <c r="G2155" t="s">
        <v>114</v>
      </c>
      <c r="J2155" t="s">
        <v>125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>"14:53:53.344"</f>
        <v>14:53:53.344</v>
      </c>
      <c r="T2155" t="str">
        <f>"14:53:52.944"</f>
        <v>14:53:52.944</v>
      </c>
      <c r="U2155" t="str">
        <f t="shared" si="105"/>
        <v>A0F928</v>
      </c>
      <c r="V2155">
        <v>0</v>
      </c>
      <c r="W2155">
        <v>0</v>
      </c>
      <c r="X2155">
        <v>2</v>
      </c>
      <c r="Z2155">
        <v>0</v>
      </c>
      <c r="AA2155">
        <v>9</v>
      </c>
      <c r="AB2155">
        <v>3</v>
      </c>
      <c r="AC2155">
        <v>0</v>
      </c>
      <c r="AD2155">
        <v>10</v>
      </c>
      <c r="AE2155">
        <v>0</v>
      </c>
      <c r="AF2155">
        <v>3</v>
      </c>
      <c r="AG2155">
        <v>2</v>
      </c>
      <c r="AH2155">
        <v>1</v>
      </c>
      <c r="AI2155" t="s">
        <v>1124</v>
      </c>
      <c r="AJ2155">
        <v>35.848388999999997</v>
      </c>
      <c r="AK2155" t="s">
        <v>1125</v>
      </c>
      <c r="AL2155">
        <v>-83.957690999999997</v>
      </c>
      <c r="AM2155">
        <v>25</v>
      </c>
      <c r="AN2155">
        <v>1100</v>
      </c>
      <c r="AO2155" t="s">
        <v>118</v>
      </c>
      <c r="AP2155">
        <v>58</v>
      </c>
      <c r="AQ2155">
        <v>-78</v>
      </c>
      <c r="AR2155">
        <v>-64</v>
      </c>
      <c r="AZ2155">
        <v>300</v>
      </c>
      <c r="BA2155">
        <v>1</v>
      </c>
      <c r="BB2155" t="str">
        <f t="shared" si="104"/>
        <v xml:space="preserve">N162AM  </v>
      </c>
      <c r="BC2155">
        <v>1</v>
      </c>
      <c r="BE2155">
        <v>0</v>
      </c>
      <c r="BF2155">
        <v>0</v>
      </c>
      <c r="BG2155">
        <v>0</v>
      </c>
      <c r="BH2155">
        <v>1375</v>
      </c>
      <c r="BI2155">
        <v>1</v>
      </c>
      <c r="BJ2155">
        <v>1</v>
      </c>
      <c r="BK2155">
        <v>1</v>
      </c>
      <c r="BL2155">
        <v>0</v>
      </c>
      <c r="BO2155">
        <v>0</v>
      </c>
      <c r="BP2155">
        <v>0</v>
      </c>
      <c r="BW2155" t="str">
        <f>"14:53:53.346"</f>
        <v>14:53:53.346</v>
      </c>
      <c r="CJ2155">
        <v>3</v>
      </c>
      <c r="CK2155">
        <v>2</v>
      </c>
      <c r="CL2155">
        <v>0</v>
      </c>
      <c r="CM2155">
        <v>2</v>
      </c>
      <c r="CN2155">
        <v>0</v>
      </c>
      <c r="CO2155">
        <v>4</v>
      </c>
      <c r="CP2155" t="s">
        <v>119</v>
      </c>
      <c r="CQ2155">
        <v>232</v>
      </c>
      <c r="CR2155">
        <v>1</v>
      </c>
      <c r="CW2155">
        <v>15845426</v>
      </c>
      <c r="CY2155">
        <v>1</v>
      </c>
      <c r="CZ2155">
        <v>0</v>
      </c>
      <c r="DA2155">
        <v>1</v>
      </c>
      <c r="DB2155">
        <v>0</v>
      </c>
      <c r="DC2155">
        <v>0</v>
      </c>
      <c r="DD2155">
        <v>1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3">
      <c r="A2156" t="str">
        <f>"12/16/2021 14:53:53.587"</f>
        <v>12/16/2021 14:53:53.587</v>
      </c>
      <c r="C2156" t="str">
        <f t="shared" si="103"/>
        <v>FFDFD3C0</v>
      </c>
      <c r="D2156" t="s">
        <v>113</v>
      </c>
      <c r="E2156">
        <v>8</v>
      </c>
      <c r="H2156">
        <v>176</v>
      </c>
      <c r="I2156" t="s">
        <v>114</v>
      </c>
      <c r="J2156" t="s">
        <v>115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>"14:53:53.344"</f>
        <v>14:53:53.344</v>
      </c>
      <c r="T2156" t="str">
        <f>"14:53:52.944"</f>
        <v>14:53:52.944</v>
      </c>
      <c r="U2156" t="str">
        <f t="shared" si="105"/>
        <v>A0F928</v>
      </c>
      <c r="V2156">
        <v>0</v>
      </c>
      <c r="W2156">
        <v>0</v>
      </c>
      <c r="X2156">
        <v>2</v>
      </c>
      <c r="Z2156">
        <v>0</v>
      </c>
      <c r="AA2156">
        <v>9</v>
      </c>
      <c r="AB2156">
        <v>3</v>
      </c>
      <c r="AC2156">
        <v>0</v>
      </c>
      <c r="AD2156">
        <v>10</v>
      </c>
      <c r="AE2156">
        <v>0</v>
      </c>
      <c r="AF2156">
        <v>3</v>
      </c>
      <c r="AG2156">
        <v>2</v>
      </c>
      <c r="AH2156">
        <v>1</v>
      </c>
      <c r="AI2156" t="s">
        <v>1124</v>
      </c>
      <c r="AJ2156">
        <v>35.848388999999997</v>
      </c>
      <c r="AK2156" t="s">
        <v>1125</v>
      </c>
      <c r="AL2156">
        <v>-83.957690999999997</v>
      </c>
      <c r="AM2156">
        <v>25</v>
      </c>
      <c r="AN2156">
        <v>1100</v>
      </c>
      <c r="AO2156" t="s">
        <v>118</v>
      </c>
      <c r="AP2156">
        <v>58</v>
      </c>
      <c r="AQ2156">
        <v>-78</v>
      </c>
      <c r="AR2156">
        <v>-64</v>
      </c>
      <c r="AZ2156">
        <v>300</v>
      </c>
      <c r="BA2156">
        <v>1</v>
      </c>
      <c r="BB2156" t="str">
        <f t="shared" si="104"/>
        <v xml:space="preserve">N162AM  </v>
      </c>
      <c r="BC2156">
        <v>1</v>
      </c>
      <c r="BE2156">
        <v>0</v>
      </c>
      <c r="BF2156">
        <v>0</v>
      </c>
      <c r="BG2156">
        <v>0</v>
      </c>
      <c r="BH2156">
        <v>1375</v>
      </c>
      <c r="BI2156">
        <v>1</v>
      </c>
      <c r="BJ2156">
        <v>1</v>
      </c>
      <c r="BK2156">
        <v>1</v>
      </c>
      <c r="BL2156">
        <v>0</v>
      </c>
      <c r="BO2156">
        <v>0</v>
      </c>
      <c r="BP2156">
        <v>0</v>
      </c>
      <c r="BW2156" t="str">
        <f>"14:53:53.346"</f>
        <v>14:53:53.346</v>
      </c>
      <c r="CJ2156">
        <v>3</v>
      </c>
      <c r="CK2156">
        <v>2</v>
      </c>
      <c r="CL2156">
        <v>0</v>
      </c>
      <c r="CM2156">
        <v>2</v>
      </c>
      <c r="CN2156">
        <v>0</v>
      </c>
      <c r="CO2156">
        <v>4</v>
      </c>
      <c r="CP2156" t="s">
        <v>119</v>
      </c>
      <c r="CQ2156">
        <v>232</v>
      </c>
      <c r="CR2156">
        <v>1</v>
      </c>
      <c r="CW2156">
        <v>15845426</v>
      </c>
      <c r="CY2156">
        <v>1</v>
      </c>
      <c r="CZ2156">
        <v>0</v>
      </c>
      <c r="DA2156">
        <v>1</v>
      </c>
      <c r="DB2156">
        <v>0</v>
      </c>
      <c r="DC2156">
        <v>0</v>
      </c>
      <c r="DD2156">
        <v>1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3">
      <c r="A2157" t="str">
        <f>"12/16/2021 14:53:53.587"</f>
        <v>12/16/2021 14:53:53.587</v>
      </c>
      <c r="C2157" t="str">
        <f t="shared" si="103"/>
        <v>FFDFD3C0</v>
      </c>
      <c r="D2157" t="s">
        <v>124</v>
      </c>
      <c r="E2157">
        <v>10</v>
      </c>
      <c r="F2157">
        <v>1010</v>
      </c>
      <c r="G2157" t="s">
        <v>130</v>
      </c>
      <c r="J2157" t="s">
        <v>125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>"14:53:53.344"</f>
        <v>14:53:53.344</v>
      </c>
      <c r="T2157" t="str">
        <f>"14:53:52.944"</f>
        <v>14:53:52.944</v>
      </c>
      <c r="U2157" t="str">
        <f t="shared" si="105"/>
        <v>A0F928</v>
      </c>
      <c r="V2157">
        <v>0</v>
      </c>
      <c r="W2157">
        <v>0</v>
      </c>
      <c r="X2157">
        <v>2</v>
      </c>
      <c r="Z2157">
        <v>0</v>
      </c>
      <c r="AA2157">
        <v>9</v>
      </c>
      <c r="AB2157">
        <v>3</v>
      </c>
      <c r="AC2157">
        <v>0</v>
      </c>
      <c r="AD2157">
        <v>10</v>
      </c>
      <c r="AE2157">
        <v>0</v>
      </c>
      <c r="AF2157">
        <v>0</v>
      </c>
      <c r="AG2157">
        <v>2</v>
      </c>
      <c r="AH2157">
        <v>1</v>
      </c>
      <c r="AI2157" t="s">
        <v>1124</v>
      </c>
      <c r="AJ2157">
        <v>35.848388999999997</v>
      </c>
      <c r="AK2157" t="s">
        <v>1125</v>
      </c>
      <c r="AL2157">
        <v>-83.957690999999997</v>
      </c>
      <c r="AM2157">
        <v>25</v>
      </c>
      <c r="AN2157">
        <v>1100</v>
      </c>
      <c r="AO2157" t="s">
        <v>118</v>
      </c>
      <c r="AP2157">
        <v>58</v>
      </c>
      <c r="AQ2157">
        <v>-78</v>
      </c>
      <c r="AR2157">
        <v>-64</v>
      </c>
      <c r="AZ2157">
        <v>300</v>
      </c>
      <c r="BA2157">
        <v>1</v>
      </c>
      <c r="BB2157" t="str">
        <f t="shared" si="104"/>
        <v xml:space="preserve">N162AM  </v>
      </c>
      <c r="BC2157">
        <v>1</v>
      </c>
      <c r="BE2157">
        <v>0</v>
      </c>
      <c r="BF2157">
        <v>0</v>
      </c>
      <c r="BG2157">
        <v>0</v>
      </c>
      <c r="BH2157">
        <v>1375</v>
      </c>
      <c r="BI2157">
        <v>1</v>
      </c>
      <c r="BJ2157">
        <v>1</v>
      </c>
      <c r="BK2157">
        <v>1</v>
      </c>
      <c r="BL2157">
        <v>0</v>
      </c>
      <c r="BO2157">
        <v>0</v>
      </c>
      <c r="BP2157">
        <v>0</v>
      </c>
      <c r="BW2157" t="str">
        <f>"14:53:53.346"</f>
        <v>14:53:53.346</v>
      </c>
      <c r="CJ2157">
        <v>2</v>
      </c>
      <c r="CK2157">
        <v>2</v>
      </c>
      <c r="CL2157">
        <v>0</v>
      </c>
      <c r="CM2157">
        <v>2</v>
      </c>
      <c r="CN2157">
        <v>0</v>
      </c>
      <c r="CO2157">
        <v>4</v>
      </c>
      <c r="CP2157" t="s">
        <v>119</v>
      </c>
      <c r="CQ2157">
        <v>232</v>
      </c>
      <c r="CR2157">
        <v>1</v>
      </c>
      <c r="CW2157">
        <v>15845426</v>
      </c>
      <c r="CY2157">
        <v>1</v>
      </c>
      <c r="CZ2157">
        <v>0</v>
      </c>
      <c r="DA2157">
        <v>1</v>
      </c>
      <c r="DB2157">
        <v>0</v>
      </c>
      <c r="DC2157">
        <v>0</v>
      </c>
      <c r="DD2157">
        <v>1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3">
      <c r="A2158" t="str">
        <f>"12/16/2021 14:53:54.596"</f>
        <v>12/16/2021 14:53:54.596</v>
      </c>
      <c r="C2158" t="str">
        <f t="shared" ref="C2158:C2221" si="106">"FFDFD3C0"</f>
        <v>FFDFD3C0</v>
      </c>
      <c r="D2158" t="s">
        <v>124</v>
      </c>
      <c r="E2158">
        <v>5</v>
      </c>
      <c r="F2158">
        <v>1005</v>
      </c>
      <c r="G2158" t="s">
        <v>114</v>
      </c>
      <c r="J2158" t="s">
        <v>125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>"14:53:54.383"</f>
        <v>14:53:54.383</v>
      </c>
      <c r="T2158" t="str">
        <f>"14:53:53.383"</f>
        <v>14:53:53.383</v>
      </c>
      <c r="U2158" t="str">
        <f t="shared" si="105"/>
        <v>A0F928</v>
      </c>
      <c r="V2158">
        <v>0</v>
      </c>
      <c r="W2158">
        <v>0</v>
      </c>
      <c r="X2158">
        <v>2</v>
      </c>
      <c r="Z2158">
        <v>0</v>
      </c>
      <c r="AA2158">
        <v>9</v>
      </c>
      <c r="AB2158">
        <v>3</v>
      </c>
      <c r="AC2158">
        <v>0</v>
      </c>
      <c r="AD2158">
        <v>10</v>
      </c>
      <c r="AE2158">
        <v>0</v>
      </c>
      <c r="AF2158">
        <v>3</v>
      </c>
      <c r="AG2158">
        <v>2</v>
      </c>
      <c r="AH2158">
        <v>1</v>
      </c>
      <c r="AI2158" t="s">
        <v>1126</v>
      </c>
      <c r="AJ2158">
        <v>35.847980999999997</v>
      </c>
      <c r="AK2158" t="s">
        <v>1127</v>
      </c>
      <c r="AL2158">
        <v>-83.957347999999996</v>
      </c>
      <c r="AM2158">
        <v>25</v>
      </c>
      <c r="AN2158">
        <v>1100</v>
      </c>
      <c r="AO2158" t="s">
        <v>118</v>
      </c>
      <c r="AP2158">
        <v>58</v>
      </c>
      <c r="AQ2158">
        <v>-78</v>
      </c>
      <c r="AR2158">
        <v>0</v>
      </c>
      <c r="AZ2158">
        <v>300</v>
      </c>
      <c r="BA2158">
        <v>1</v>
      </c>
      <c r="BB2158" t="str">
        <f t="shared" ref="BB2158:BB2221" si="107">"N162AM  "</f>
        <v xml:space="preserve">N162AM  </v>
      </c>
      <c r="BC2158">
        <v>1</v>
      </c>
      <c r="BE2158">
        <v>0</v>
      </c>
      <c r="BF2158">
        <v>0</v>
      </c>
      <c r="BG2158">
        <v>0</v>
      </c>
      <c r="BH2158">
        <v>1375</v>
      </c>
      <c r="BI2158">
        <v>1</v>
      </c>
      <c r="BJ2158">
        <v>1</v>
      </c>
      <c r="BK2158">
        <v>1</v>
      </c>
      <c r="BL2158">
        <v>0</v>
      </c>
      <c r="BO2158">
        <v>0</v>
      </c>
      <c r="BP2158">
        <v>0</v>
      </c>
      <c r="BW2158" t="str">
        <f>"14:53:54.384"</f>
        <v>14:53:54.384</v>
      </c>
      <c r="CJ2158">
        <v>3</v>
      </c>
      <c r="CK2158">
        <v>2</v>
      </c>
      <c r="CL2158">
        <v>0</v>
      </c>
      <c r="CM2158">
        <v>2</v>
      </c>
      <c r="CN2158">
        <v>0</v>
      </c>
      <c r="CO2158">
        <v>5</v>
      </c>
      <c r="CP2158" t="s">
        <v>119</v>
      </c>
      <c r="CQ2158">
        <v>232</v>
      </c>
      <c r="CR2158">
        <v>2</v>
      </c>
      <c r="CW2158">
        <v>7066486</v>
      </c>
      <c r="CY2158">
        <v>1</v>
      </c>
      <c r="CZ2158">
        <v>0</v>
      </c>
      <c r="DA2158">
        <v>0</v>
      </c>
      <c r="DB2158">
        <v>0</v>
      </c>
      <c r="DC2158">
        <v>0</v>
      </c>
      <c r="DD2158">
        <v>1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3">
      <c r="A2159" t="str">
        <f>"12/16/2021 14:53:54.596"</f>
        <v>12/16/2021 14:53:54.596</v>
      </c>
      <c r="C2159" t="str">
        <f t="shared" si="106"/>
        <v>FFDFD3C0</v>
      </c>
      <c r="D2159" t="s">
        <v>133</v>
      </c>
      <c r="E2159">
        <v>44</v>
      </c>
      <c r="H2159">
        <v>131</v>
      </c>
      <c r="I2159" t="s">
        <v>134</v>
      </c>
      <c r="J2159" t="s">
        <v>135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>"14:53:54.383"</f>
        <v>14:53:54.383</v>
      </c>
      <c r="T2159" t="str">
        <f>"14:53:53.383"</f>
        <v>14:53:53.383</v>
      </c>
      <c r="U2159" t="str">
        <f t="shared" si="105"/>
        <v>A0F928</v>
      </c>
      <c r="V2159">
        <v>0</v>
      </c>
      <c r="W2159">
        <v>0</v>
      </c>
      <c r="X2159">
        <v>2</v>
      </c>
      <c r="Z2159">
        <v>0</v>
      </c>
      <c r="AA2159">
        <v>9</v>
      </c>
      <c r="AB2159">
        <v>3</v>
      </c>
      <c r="AC2159">
        <v>0</v>
      </c>
      <c r="AD2159">
        <v>10</v>
      </c>
      <c r="AE2159">
        <v>0</v>
      </c>
      <c r="AF2159">
        <v>3</v>
      </c>
      <c r="AG2159">
        <v>2</v>
      </c>
      <c r="AH2159">
        <v>1</v>
      </c>
      <c r="AI2159" t="s">
        <v>1126</v>
      </c>
      <c r="AJ2159">
        <v>35.847980999999997</v>
      </c>
      <c r="AK2159" t="s">
        <v>1127</v>
      </c>
      <c r="AL2159">
        <v>-83.957347999999996</v>
      </c>
      <c r="AM2159">
        <v>25</v>
      </c>
      <c r="AN2159">
        <v>1100</v>
      </c>
      <c r="AO2159" t="s">
        <v>118</v>
      </c>
      <c r="AP2159">
        <v>58</v>
      </c>
      <c r="AQ2159">
        <v>-78</v>
      </c>
      <c r="AR2159">
        <v>0</v>
      </c>
      <c r="AZ2159">
        <v>300</v>
      </c>
      <c r="BA2159">
        <v>1</v>
      </c>
      <c r="BB2159" t="str">
        <f t="shared" si="107"/>
        <v xml:space="preserve">N162AM  </v>
      </c>
      <c r="BC2159">
        <v>1</v>
      </c>
      <c r="BE2159">
        <v>0</v>
      </c>
      <c r="BF2159">
        <v>0</v>
      </c>
      <c r="BG2159">
        <v>0</v>
      </c>
      <c r="BH2159">
        <v>1375</v>
      </c>
      <c r="BI2159">
        <v>1</v>
      </c>
      <c r="BJ2159">
        <v>1</v>
      </c>
      <c r="BK2159">
        <v>1</v>
      </c>
      <c r="BL2159">
        <v>0</v>
      </c>
      <c r="BO2159">
        <v>0</v>
      </c>
      <c r="BP2159">
        <v>0</v>
      </c>
      <c r="BW2159" t="str">
        <f>"14:53:54.384"</f>
        <v>14:53:54.384</v>
      </c>
      <c r="CJ2159">
        <v>3</v>
      </c>
      <c r="CK2159">
        <v>2</v>
      </c>
      <c r="CL2159">
        <v>0</v>
      </c>
      <c r="CM2159">
        <v>2</v>
      </c>
      <c r="CN2159">
        <v>0</v>
      </c>
      <c r="CO2159">
        <v>5</v>
      </c>
      <c r="CP2159" t="s">
        <v>119</v>
      </c>
      <c r="CQ2159">
        <v>232</v>
      </c>
      <c r="CR2159">
        <v>2</v>
      </c>
      <c r="CW2159">
        <v>7066486</v>
      </c>
      <c r="CY2159">
        <v>1</v>
      </c>
      <c r="CZ2159">
        <v>0</v>
      </c>
      <c r="DA2159">
        <v>1</v>
      </c>
      <c r="DB2159">
        <v>0</v>
      </c>
      <c r="DC2159">
        <v>0</v>
      </c>
      <c r="DD2159">
        <v>1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3">
      <c r="A2160" t="str">
        <f>"12/16/2021 14:53:54.633"</f>
        <v>12/16/2021 14:53:54.633</v>
      </c>
      <c r="C2160" t="str">
        <f t="shared" si="106"/>
        <v>FFDFD3C0</v>
      </c>
      <c r="D2160" t="s">
        <v>113</v>
      </c>
      <c r="E2160">
        <v>8</v>
      </c>
      <c r="H2160">
        <v>176</v>
      </c>
      <c r="I2160" t="s">
        <v>114</v>
      </c>
      <c r="J2160" t="s">
        <v>115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>"14:53:54.383"</f>
        <v>14:53:54.383</v>
      </c>
      <c r="T2160" t="str">
        <f>"14:53:53.383"</f>
        <v>14:53:53.383</v>
      </c>
      <c r="U2160" t="str">
        <f t="shared" si="105"/>
        <v>A0F928</v>
      </c>
      <c r="V2160">
        <v>0</v>
      </c>
      <c r="W2160">
        <v>0</v>
      </c>
      <c r="X2160">
        <v>2</v>
      </c>
      <c r="Z2160">
        <v>0</v>
      </c>
      <c r="AA2160">
        <v>9</v>
      </c>
      <c r="AB2160">
        <v>3</v>
      </c>
      <c r="AC2160">
        <v>0</v>
      </c>
      <c r="AD2160">
        <v>10</v>
      </c>
      <c r="AE2160">
        <v>0</v>
      </c>
      <c r="AF2160">
        <v>3</v>
      </c>
      <c r="AG2160">
        <v>2</v>
      </c>
      <c r="AH2160">
        <v>1</v>
      </c>
      <c r="AI2160" t="s">
        <v>1126</v>
      </c>
      <c r="AJ2160">
        <v>35.847980999999997</v>
      </c>
      <c r="AK2160" t="s">
        <v>1127</v>
      </c>
      <c r="AL2160">
        <v>-83.957347999999996</v>
      </c>
      <c r="AM2160">
        <v>25</v>
      </c>
      <c r="AN2160">
        <v>1100</v>
      </c>
      <c r="AO2160" t="s">
        <v>118</v>
      </c>
      <c r="AP2160">
        <v>58</v>
      </c>
      <c r="AQ2160">
        <v>-78</v>
      </c>
      <c r="AR2160">
        <v>0</v>
      </c>
      <c r="AZ2160">
        <v>300</v>
      </c>
      <c r="BA2160">
        <v>1</v>
      </c>
      <c r="BB2160" t="str">
        <f t="shared" si="107"/>
        <v xml:space="preserve">N162AM  </v>
      </c>
      <c r="BC2160">
        <v>1</v>
      </c>
      <c r="BE2160">
        <v>0</v>
      </c>
      <c r="BF2160">
        <v>0</v>
      </c>
      <c r="BG2160">
        <v>0</v>
      </c>
      <c r="BH2160">
        <v>1375</v>
      </c>
      <c r="BI2160">
        <v>1</v>
      </c>
      <c r="BJ2160">
        <v>1</v>
      </c>
      <c r="BK2160">
        <v>1</v>
      </c>
      <c r="BL2160">
        <v>0</v>
      </c>
      <c r="BO2160">
        <v>0</v>
      </c>
      <c r="BP2160">
        <v>0</v>
      </c>
      <c r="BW2160" t="str">
        <f>"14:53:54.384"</f>
        <v>14:53:54.384</v>
      </c>
      <c r="CJ2160">
        <v>3</v>
      </c>
      <c r="CK2160">
        <v>2</v>
      </c>
      <c r="CL2160">
        <v>0</v>
      </c>
      <c r="CM2160">
        <v>2</v>
      </c>
      <c r="CN2160">
        <v>0</v>
      </c>
      <c r="CO2160">
        <v>5</v>
      </c>
      <c r="CP2160" t="s">
        <v>119</v>
      </c>
      <c r="CQ2160">
        <v>232</v>
      </c>
      <c r="CR2160">
        <v>2</v>
      </c>
      <c r="CW2160">
        <v>7066486</v>
      </c>
      <c r="CY2160">
        <v>1</v>
      </c>
      <c r="CZ2160">
        <v>0</v>
      </c>
      <c r="DA2160">
        <v>1</v>
      </c>
      <c r="DB2160">
        <v>0</v>
      </c>
      <c r="DC2160">
        <v>0</v>
      </c>
      <c r="DD2160">
        <v>1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3">
      <c r="A2161" t="str">
        <f>"12/16/2021 14:53:54.633"</f>
        <v>12/16/2021 14:53:54.633</v>
      </c>
      <c r="C2161" t="str">
        <f t="shared" si="106"/>
        <v>FFDFD3C0</v>
      </c>
      <c r="D2161" t="s">
        <v>124</v>
      </c>
      <c r="E2161">
        <v>10</v>
      </c>
      <c r="F2161">
        <v>1010</v>
      </c>
      <c r="G2161" t="s">
        <v>130</v>
      </c>
      <c r="J2161" t="s">
        <v>125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>"14:53:54.383"</f>
        <v>14:53:54.383</v>
      </c>
      <c r="T2161" t="str">
        <f>"14:53:53.383"</f>
        <v>14:53:53.383</v>
      </c>
      <c r="U2161" t="str">
        <f t="shared" si="105"/>
        <v>A0F928</v>
      </c>
      <c r="V2161">
        <v>0</v>
      </c>
      <c r="W2161">
        <v>0</v>
      </c>
      <c r="X2161">
        <v>2</v>
      </c>
      <c r="Z2161">
        <v>0</v>
      </c>
      <c r="AA2161">
        <v>9</v>
      </c>
      <c r="AB2161">
        <v>3</v>
      </c>
      <c r="AC2161">
        <v>0</v>
      </c>
      <c r="AD2161">
        <v>10</v>
      </c>
      <c r="AE2161">
        <v>0</v>
      </c>
      <c r="AF2161">
        <v>0</v>
      </c>
      <c r="AG2161">
        <v>2</v>
      </c>
      <c r="AH2161">
        <v>1</v>
      </c>
      <c r="AI2161" t="s">
        <v>1126</v>
      </c>
      <c r="AJ2161">
        <v>35.847980999999997</v>
      </c>
      <c r="AK2161" t="s">
        <v>1127</v>
      </c>
      <c r="AL2161">
        <v>-83.957347999999996</v>
      </c>
      <c r="AM2161">
        <v>25</v>
      </c>
      <c r="AN2161">
        <v>1100</v>
      </c>
      <c r="AO2161" t="s">
        <v>118</v>
      </c>
      <c r="AP2161">
        <v>58</v>
      </c>
      <c r="AQ2161">
        <v>-78</v>
      </c>
      <c r="AR2161">
        <v>0</v>
      </c>
      <c r="AZ2161">
        <v>300</v>
      </c>
      <c r="BA2161">
        <v>1</v>
      </c>
      <c r="BB2161" t="str">
        <f t="shared" si="107"/>
        <v xml:space="preserve">N162AM  </v>
      </c>
      <c r="BC2161">
        <v>1</v>
      </c>
      <c r="BE2161">
        <v>0</v>
      </c>
      <c r="BF2161">
        <v>0</v>
      </c>
      <c r="BG2161">
        <v>0</v>
      </c>
      <c r="BH2161">
        <v>1375</v>
      </c>
      <c r="BI2161">
        <v>1</v>
      </c>
      <c r="BJ2161">
        <v>1</v>
      </c>
      <c r="BK2161">
        <v>1</v>
      </c>
      <c r="BL2161">
        <v>0</v>
      </c>
      <c r="BO2161">
        <v>0</v>
      </c>
      <c r="BP2161">
        <v>0</v>
      </c>
      <c r="BW2161" t="str">
        <f>"14:53:54.384"</f>
        <v>14:53:54.384</v>
      </c>
      <c r="CJ2161">
        <v>2</v>
      </c>
      <c r="CK2161">
        <v>2</v>
      </c>
      <c r="CL2161">
        <v>0</v>
      </c>
      <c r="CM2161">
        <v>2</v>
      </c>
      <c r="CN2161">
        <v>0</v>
      </c>
      <c r="CO2161">
        <v>5</v>
      </c>
      <c r="CP2161" t="s">
        <v>119</v>
      </c>
      <c r="CQ2161">
        <v>232</v>
      </c>
      <c r="CR2161">
        <v>2</v>
      </c>
      <c r="CW2161">
        <v>7066486</v>
      </c>
      <c r="CY2161">
        <v>1</v>
      </c>
      <c r="CZ2161">
        <v>0</v>
      </c>
      <c r="DA2161">
        <v>1</v>
      </c>
      <c r="DB2161">
        <v>0</v>
      </c>
      <c r="DC2161">
        <v>0</v>
      </c>
      <c r="DD2161">
        <v>1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3">
      <c r="A2162" t="str">
        <f>"12/16/2021 14:53:55.595"</f>
        <v>12/16/2021 14:53:55.595</v>
      </c>
      <c r="C2162" t="str">
        <f t="shared" si="106"/>
        <v>FFDFD3C0</v>
      </c>
      <c r="D2162" t="s">
        <v>124</v>
      </c>
      <c r="E2162">
        <v>10</v>
      </c>
      <c r="F2162">
        <v>1010</v>
      </c>
      <c r="G2162" t="s">
        <v>130</v>
      </c>
      <c r="J2162" t="s">
        <v>125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>"14:53:55.375"</f>
        <v>14:53:55.375</v>
      </c>
      <c r="T2162" t="str">
        <f>"14:53:54.875"</f>
        <v>14:53:54.875</v>
      </c>
      <c r="U2162" t="str">
        <f t="shared" si="105"/>
        <v>A0F928</v>
      </c>
      <c r="V2162">
        <v>0</v>
      </c>
      <c r="W2162">
        <v>0</v>
      </c>
      <c r="X2162">
        <v>2</v>
      </c>
      <c r="Z2162">
        <v>0</v>
      </c>
      <c r="AA2162">
        <v>9</v>
      </c>
      <c r="AB2162">
        <v>3</v>
      </c>
      <c r="AC2162">
        <v>0</v>
      </c>
      <c r="AD2162">
        <v>10</v>
      </c>
      <c r="AE2162">
        <v>0</v>
      </c>
      <c r="AF2162">
        <v>0</v>
      </c>
      <c r="AG2162">
        <v>2</v>
      </c>
      <c r="AH2162">
        <v>1</v>
      </c>
      <c r="AI2162" t="s">
        <v>1128</v>
      </c>
      <c r="AJ2162">
        <v>35.847659</v>
      </c>
      <c r="AK2162" t="s">
        <v>1129</v>
      </c>
      <c r="AL2162">
        <v>-83.957004999999995</v>
      </c>
      <c r="AM2162">
        <v>25</v>
      </c>
      <c r="AN2162">
        <v>1100</v>
      </c>
      <c r="AO2162" t="s">
        <v>118</v>
      </c>
      <c r="AP2162">
        <v>57</v>
      </c>
      <c r="AQ2162">
        <v>-77</v>
      </c>
      <c r="AR2162">
        <v>64</v>
      </c>
      <c r="AZ2162">
        <v>300</v>
      </c>
      <c r="BA2162">
        <v>1</v>
      </c>
      <c r="BB2162" t="str">
        <f t="shared" si="107"/>
        <v xml:space="preserve">N162AM  </v>
      </c>
      <c r="BC2162">
        <v>1</v>
      </c>
      <c r="BE2162">
        <v>0</v>
      </c>
      <c r="BF2162">
        <v>0</v>
      </c>
      <c r="BG2162">
        <v>0</v>
      </c>
      <c r="BH2162">
        <v>1350</v>
      </c>
      <c r="BI2162">
        <v>1</v>
      </c>
      <c r="BJ2162">
        <v>1</v>
      </c>
      <c r="BK2162">
        <v>1</v>
      </c>
      <c r="BL2162">
        <v>0</v>
      </c>
      <c r="BO2162">
        <v>0</v>
      </c>
      <c r="BP2162">
        <v>0</v>
      </c>
      <c r="BW2162" t="str">
        <f>"14:53:55.379"</f>
        <v>14:53:55.379</v>
      </c>
      <c r="CJ2162">
        <v>2</v>
      </c>
      <c r="CK2162">
        <v>2</v>
      </c>
      <c r="CL2162">
        <v>0</v>
      </c>
      <c r="CM2162">
        <v>2</v>
      </c>
      <c r="CN2162">
        <v>0</v>
      </c>
      <c r="CO2162">
        <v>5</v>
      </c>
      <c r="CP2162" t="s">
        <v>119</v>
      </c>
      <c r="CQ2162">
        <v>232</v>
      </c>
      <c r="CR2162">
        <v>1</v>
      </c>
      <c r="CW2162">
        <v>15848367</v>
      </c>
      <c r="CY2162">
        <v>1</v>
      </c>
      <c r="CZ2162">
        <v>0</v>
      </c>
      <c r="DA2162">
        <v>0</v>
      </c>
      <c r="DB2162">
        <v>0</v>
      </c>
      <c r="DC2162">
        <v>0</v>
      </c>
      <c r="DD2162">
        <v>1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3">
      <c r="A2163" t="str">
        <f>"12/16/2021 14:53:55.595"</f>
        <v>12/16/2021 14:53:55.595</v>
      </c>
      <c r="C2163" t="str">
        <f t="shared" si="106"/>
        <v>FFDFD3C0</v>
      </c>
      <c r="D2163" t="s">
        <v>113</v>
      </c>
      <c r="E2163">
        <v>8</v>
      </c>
      <c r="H2163">
        <v>176</v>
      </c>
      <c r="I2163" t="s">
        <v>114</v>
      </c>
      <c r="J2163" t="s">
        <v>115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>"14:53:55.375"</f>
        <v>14:53:55.375</v>
      </c>
      <c r="T2163" t="str">
        <f>"14:53:54.875"</f>
        <v>14:53:54.875</v>
      </c>
      <c r="U2163" t="str">
        <f t="shared" si="105"/>
        <v>A0F928</v>
      </c>
      <c r="V2163">
        <v>0</v>
      </c>
      <c r="W2163">
        <v>0</v>
      </c>
      <c r="X2163">
        <v>2</v>
      </c>
      <c r="Z2163">
        <v>0</v>
      </c>
      <c r="AA2163">
        <v>9</v>
      </c>
      <c r="AB2163">
        <v>3</v>
      </c>
      <c r="AC2163">
        <v>0</v>
      </c>
      <c r="AD2163">
        <v>10</v>
      </c>
      <c r="AE2163">
        <v>0</v>
      </c>
      <c r="AF2163">
        <v>3</v>
      </c>
      <c r="AG2163">
        <v>2</v>
      </c>
      <c r="AH2163">
        <v>1</v>
      </c>
      <c r="AI2163" t="s">
        <v>1128</v>
      </c>
      <c r="AJ2163">
        <v>35.847659</v>
      </c>
      <c r="AK2163" t="s">
        <v>1129</v>
      </c>
      <c r="AL2163">
        <v>-83.957004999999995</v>
      </c>
      <c r="AM2163">
        <v>25</v>
      </c>
      <c r="AN2163">
        <v>1100</v>
      </c>
      <c r="AO2163" t="s">
        <v>118</v>
      </c>
      <c r="AP2163">
        <v>57</v>
      </c>
      <c r="AQ2163">
        <v>-77</v>
      </c>
      <c r="AR2163">
        <v>64</v>
      </c>
      <c r="AZ2163">
        <v>300</v>
      </c>
      <c r="BA2163">
        <v>1</v>
      </c>
      <c r="BB2163" t="str">
        <f t="shared" si="107"/>
        <v xml:space="preserve">N162AM  </v>
      </c>
      <c r="BC2163">
        <v>1</v>
      </c>
      <c r="BE2163">
        <v>0</v>
      </c>
      <c r="BF2163">
        <v>0</v>
      </c>
      <c r="BG2163">
        <v>0</v>
      </c>
      <c r="BH2163">
        <v>1350</v>
      </c>
      <c r="BI2163">
        <v>1</v>
      </c>
      <c r="BJ2163">
        <v>1</v>
      </c>
      <c r="BK2163">
        <v>1</v>
      </c>
      <c r="BL2163">
        <v>0</v>
      </c>
      <c r="BO2163">
        <v>0</v>
      </c>
      <c r="BP2163">
        <v>0</v>
      </c>
      <c r="BW2163" t="str">
        <f>"14:53:55.379"</f>
        <v>14:53:55.379</v>
      </c>
      <c r="CJ2163">
        <v>3</v>
      </c>
      <c r="CK2163">
        <v>2</v>
      </c>
      <c r="CL2163">
        <v>0</v>
      </c>
      <c r="CM2163">
        <v>2</v>
      </c>
      <c r="CN2163">
        <v>0</v>
      </c>
      <c r="CO2163">
        <v>5</v>
      </c>
      <c r="CP2163" t="s">
        <v>119</v>
      </c>
      <c r="CQ2163">
        <v>232</v>
      </c>
      <c r="CR2163">
        <v>1</v>
      </c>
      <c r="CW2163">
        <v>15848367</v>
      </c>
      <c r="CY2163">
        <v>1</v>
      </c>
      <c r="CZ2163">
        <v>0</v>
      </c>
      <c r="DA2163">
        <v>1</v>
      </c>
      <c r="DB2163">
        <v>0</v>
      </c>
      <c r="DC2163">
        <v>0</v>
      </c>
      <c r="DD2163">
        <v>1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3">
      <c r="A2164" t="str">
        <f>"12/16/2021 14:53:55.595"</f>
        <v>12/16/2021 14:53:55.595</v>
      </c>
      <c r="C2164" t="str">
        <f t="shared" si="106"/>
        <v>FFDFD3C0</v>
      </c>
      <c r="D2164" t="s">
        <v>124</v>
      </c>
      <c r="E2164">
        <v>5</v>
      </c>
      <c r="F2164">
        <v>1005</v>
      </c>
      <c r="G2164" t="s">
        <v>114</v>
      </c>
      <c r="J2164" t="s">
        <v>125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>"14:53:55.375"</f>
        <v>14:53:55.375</v>
      </c>
      <c r="T2164" t="str">
        <f>"14:53:54.875"</f>
        <v>14:53:54.875</v>
      </c>
      <c r="U2164" t="str">
        <f t="shared" si="105"/>
        <v>A0F928</v>
      </c>
      <c r="V2164">
        <v>0</v>
      </c>
      <c r="W2164">
        <v>0</v>
      </c>
      <c r="X2164">
        <v>2</v>
      </c>
      <c r="Z2164">
        <v>0</v>
      </c>
      <c r="AA2164">
        <v>9</v>
      </c>
      <c r="AB2164">
        <v>3</v>
      </c>
      <c r="AC2164">
        <v>0</v>
      </c>
      <c r="AD2164">
        <v>10</v>
      </c>
      <c r="AE2164">
        <v>0</v>
      </c>
      <c r="AF2164">
        <v>3</v>
      </c>
      <c r="AG2164">
        <v>2</v>
      </c>
      <c r="AH2164">
        <v>1</v>
      </c>
      <c r="AI2164" t="s">
        <v>1128</v>
      </c>
      <c r="AJ2164">
        <v>35.847659</v>
      </c>
      <c r="AK2164" t="s">
        <v>1129</v>
      </c>
      <c r="AL2164">
        <v>-83.957004999999995</v>
      </c>
      <c r="AM2164">
        <v>25</v>
      </c>
      <c r="AN2164">
        <v>1100</v>
      </c>
      <c r="AO2164" t="s">
        <v>118</v>
      </c>
      <c r="AP2164">
        <v>57</v>
      </c>
      <c r="AQ2164">
        <v>-77</v>
      </c>
      <c r="AR2164">
        <v>64</v>
      </c>
      <c r="AZ2164">
        <v>300</v>
      </c>
      <c r="BA2164">
        <v>1</v>
      </c>
      <c r="BB2164" t="str">
        <f t="shared" si="107"/>
        <v xml:space="preserve">N162AM  </v>
      </c>
      <c r="BC2164">
        <v>1</v>
      </c>
      <c r="BE2164">
        <v>0</v>
      </c>
      <c r="BF2164">
        <v>0</v>
      </c>
      <c r="BG2164">
        <v>0</v>
      </c>
      <c r="BH2164">
        <v>1350</v>
      </c>
      <c r="BI2164">
        <v>1</v>
      </c>
      <c r="BJ2164">
        <v>1</v>
      </c>
      <c r="BK2164">
        <v>1</v>
      </c>
      <c r="BL2164">
        <v>0</v>
      </c>
      <c r="BO2164">
        <v>0</v>
      </c>
      <c r="BP2164">
        <v>0</v>
      </c>
      <c r="BW2164" t="str">
        <f>"14:53:55.379"</f>
        <v>14:53:55.379</v>
      </c>
      <c r="CJ2164">
        <v>3</v>
      </c>
      <c r="CK2164">
        <v>2</v>
      </c>
      <c r="CL2164">
        <v>0</v>
      </c>
      <c r="CM2164">
        <v>2</v>
      </c>
      <c r="CN2164">
        <v>0</v>
      </c>
      <c r="CO2164">
        <v>5</v>
      </c>
      <c r="CP2164" t="s">
        <v>119</v>
      </c>
      <c r="CQ2164">
        <v>232</v>
      </c>
      <c r="CR2164">
        <v>1</v>
      </c>
      <c r="CW2164">
        <v>15848367</v>
      </c>
      <c r="CY2164">
        <v>1</v>
      </c>
      <c r="CZ2164">
        <v>0</v>
      </c>
      <c r="DA2164">
        <v>1</v>
      </c>
      <c r="DB2164">
        <v>0</v>
      </c>
      <c r="DC2164">
        <v>0</v>
      </c>
      <c r="DD2164">
        <v>1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3">
      <c r="A2165" t="str">
        <f>"12/16/2021 14:53:55.611"</f>
        <v>12/16/2021 14:53:55.611</v>
      </c>
      <c r="C2165" t="str">
        <f t="shared" si="106"/>
        <v>FFDFD3C0</v>
      </c>
      <c r="D2165" t="s">
        <v>133</v>
      </c>
      <c r="E2165">
        <v>44</v>
      </c>
      <c r="H2165">
        <v>131</v>
      </c>
      <c r="I2165" t="s">
        <v>134</v>
      </c>
      <c r="J2165" t="s">
        <v>135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>"14:53:55.375"</f>
        <v>14:53:55.375</v>
      </c>
      <c r="T2165" t="str">
        <f>"14:53:54.875"</f>
        <v>14:53:54.875</v>
      </c>
      <c r="U2165" t="str">
        <f t="shared" si="105"/>
        <v>A0F928</v>
      </c>
      <c r="V2165">
        <v>0</v>
      </c>
      <c r="W2165">
        <v>0</v>
      </c>
      <c r="X2165">
        <v>2</v>
      </c>
      <c r="Z2165">
        <v>0</v>
      </c>
      <c r="AA2165">
        <v>9</v>
      </c>
      <c r="AB2165">
        <v>3</v>
      </c>
      <c r="AC2165">
        <v>0</v>
      </c>
      <c r="AD2165">
        <v>10</v>
      </c>
      <c r="AE2165">
        <v>0</v>
      </c>
      <c r="AF2165">
        <v>3</v>
      </c>
      <c r="AG2165">
        <v>2</v>
      </c>
      <c r="AH2165">
        <v>1</v>
      </c>
      <c r="AI2165" t="s">
        <v>1128</v>
      </c>
      <c r="AJ2165">
        <v>35.847659</v>
      </c>
      <c r="AK2165" t="s">
        <v>1129</v>
      </c>
      <c r="AL2165">
        <v>-83.957004999999995</v>
      </c>
      <c r="AM2165">
        <v>25</v>
      </c>
      <c r="AN2165">
        <v>1100</v>
      </c>
      <c r="AO2165" t="s">
        <v>118</v>
      </c>
      <c r="AP2165">
        <v>57</v>
      </c>
      <c r="AQ2165">
        <v>-77</v>
      </c>
      <c r="AR2165">
        <v>64</v>
      </c>
      <c r="AZ2165">
        <v>300</v>
      </c>
      <c r="BA2165">
        <v>1</v>
      </c>
      <c r="BB2165" t="str">
        <f t="shared" si="107"/>
        <v xml:space="preserve">N162AM  </v>
      </c>
      <c r="BC2165">
        <v>1</v>
      </c>
      <c r="BE2165">
        <v>0</v>
      </c>
      <c r="BF2165">
        <v>0</v>
      </c>
      <c r="BG2165">
        <v>0</v>
      </c>
      <c r="BH2165">
        <v>1350</v>
      </c>
      <c r="BI2165">
        <v>1</v>
      </c>
      <c r="BJ2165">
        <v>1</v>
      </c>
      <c r="BK2165">
        <v>1</v>
      </c>
      <c r="BL2165">
        <v>0</v>
      </c>
      <c r="BO2165">
        <v>0</v>
      </c>
      <c r="BP2165">
        <v>0</v>
      </c>
      <c r="BW2165" t="str">
        <f>"14:53:55.379"</f>
        <v>14:53:55.379</v>
      </c>
      <c r="CJ2165">
        <v>3</v>
      </c>
      <c r="CK2165">
        <v>2</v>
      </c>
      <c r="CL2165">
        <v>0</v>
      </c>
      <c r="CM2165">
        <v>2</v>
      </c>
      <c r="CN2165">
        <v>0</v>
      </c>
      <c r="CO2165">
        <v>5</v>
      </c>
      <c r="CP2165" t="s">
        <v>119</v>
      </c>
      <c r="CQ2165">
        <v>232</v>
      </c>
      <c r="CR2165">
        <v>1</v>
      </c>
      <c r="CW2165">
        <v>15848367</v>
      </c>
      <c r="CY2165">
        <v>1</v>
      </c>
      <c r="CZ2165">
        <v>0</v>
      </c>
      <c r="DA2165">
        <v>1</v>
      </c>
      <c r="DB2165">
        <v>0</v>
      </c>
      <c r="DC2165">
        <v>0</v>
      </c>
      <c r="DD2165">
        <v>1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3">
      <c r="A2166" t="str">
        <f>"12/16/2021 14:53:57.080"</f>
        <v>12/16/2021 14:53:57.080</v>
      </c>
      <c r="C2166" t="str">
        <f t="shared" si="106"/>
        <v>FFDFD3C0</v>
      </c>
      <c r="D2166" t="s">
        <v>133</v>
      </c>
      <c r="E2166">
        <v>44</v>
      </c>
      <c r="H2166">
        <v>131</v>
      </c>
      <c r="I2166" t="s">
        <v>134</v>
      </c>
      <c r="J2166" t="s">
        <v>135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>"14:53:56.859"</f>
        <v>14:53:56.859</v>
      </c>
      <c r="T2166" t="str">
        <f>"14:53:56.359"</f>
        <v>14:53:56.359</v>
      </c>
      <c r="U2166" t="str">
        <f t="shared" si="105"/>
        <v>A0F928</v>
      </c>
      <c r="V2166">
        <v>0</v>
      </c>
      <c r="W2166">
        <v>0</v>
      </c>
      <c r="X2166">
        <v>2</v>
      </c>
      <c r="Z2166">
        <v>0</v>
      </c>
      <c r="AA2166">
        <v>9</v>
      </c>
      <c r="AB2166">
        <v>3</v>
      </c>
      <c r="AC2166">
        <v>0</v>
      </c>
      <c r="AD2166">
        <v>10</v>
      </c>
      <c r="AE2166">
        <v>0</v>
      </c>
      <c r="AF2166">
        <v>3</v>
      </c>
      <c r="AG2166">
        <v>2</v>
      </c>
      <c r="AH2166">
        <v>1</v>
      </c>
      <c r="AI2166" t="s">
        <v>1130</v>
      </c>
      <c r="AJ2166">
        <v>35.847079999999998</v>
      </c>
      <c r="AK2166" t="s">
        <v>1131</v>
      </c>
      <c r="AL2166">
        <v>-83.956531999999996</v>
      </c>
      <c r="AM2166">
        <v>25</v>
      </c>
      <c r="AN2166">
        <v>1100</v>
      </c>
      <c r="AO2166" t="s">
        <v>118</v>
      </c>
      <c r="AP2166">
        <v>55</v>
      </c>
      <c r="AQ2166">
        <v>-77</v>
      </c>
      <c r="AR2166">
        <v>64</v>
      </c>
      <c r="AZ2166">
        <v>300</v>
      </c>
      <c r="BA2166">
        <v>1</v>
      </c>
      <c r="BB2166" t="str">
        <f t="shared" si="107"/>
        <v xml:space="preserve">N162AM  </v>
      </c>
      <c r="BC2166">
        <v>1</v>
      </c>
      <c r="BE2166">
        <v>0</v>
      </c>
      <c r="BF2166">
        <v>0</v>
      </c>
      <c r="BG2166">
        <v>0</v>
      </c>
      <c r="BH2166">
        <v>1350</v>
      </c>
      <c r="BI2166">
        <v>1</v>
      </c>
      <c r="BJ2166">
        <v>1</v>
      </c>
      <c r="BK2166">
        <v>1</v>
      </c>
      <c r="BL2166">
        <v>0</v>
      </c>
      <c r="BO2166">
        <v>0</v>
      </c>
      <c r="BP2166">
        <v>0</v>
      </c>
      <c r="BW2166" t="str">
        <f>"14:53:56.860"</f>
        <v>14:53:56.860</v>
      </c>
      <c r="CJ2166">
        <v>3</v>
      </c>
      <c r="CK2166">
        <v>2</v>
      </c>
      <c r="CL2166">
        <v>0</v>
      </c>
      <c r="CM2166">
        <v>2</v>
      </c>
      <c r="CN2166">
        <v>0</v>
      </c>
      <c r="CO2166">
        <v>5</v>
      </c>
      <c r="CP2166" t="s">
        <v>119</v>
      </c>
      <c r="CQ2166">
        <v>232</v>
      </c>
      <c r="CR2166">
        <v>1</v>
      </c>
      <c r="CW2166">
        <v>15850548</v>
      </c>
      <c r="CY2166">
        <v>1</v>
      </c>
      <c r="CZ2166">
        <v>0</v>
      </c>
      <c r="DA2166">
        <v>0</v>
      </c>
      <c r="DB2166">
        <v>0</v>
      </c>
      <c r="DC2166">
        <v>0</v>
      </c>
      <c r="DD2166">
        <v>1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3">
      <c r="A2167" t="str">
        <f>"12/16/2021 14:53:57.095"</f>
        <v>12/16/2021 14:53:57.095</v>
      </c>
      <c r="C2167" t="str">
        <f t="shared" si="106"/>
        <v>FFDFD3C0</v>
      </c>
      <c r="D2167" t="s">
        <v>124</v>
      </c>
      <c r="E2167">
        <v>10</v>
      </c>
      <c r="F2167">
        <v>1010</v>
      </c>
      <c r="G2167" t="s">
        <v>130</v>
      </c>
      <c r="J2167" t="s">
        <v>125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>"14:53:56.859"</f>
        <v>14:53:56.859</v>
      </c>
      <c r="T2167" t="str">
        <f>"14:53:56.359"</f>
        <v>14:53:56.359</v>
      </c>
      <c r="U2167" t="str">
        <f t="shared" si="105"/>
        <v>A0F928</v>
      </c>
      <c r="V2167">
        <v>0</v>
      </c>
      <c r="W2167">
        <v>0</v>
      </c>
      <c r="X2167">
        <v>2</v>
      </c>
      <c r="Z2167">
        <v>0</v>
      </c>
      <c r="AA2167">
        <v>9</v>
      </c>
      <c r="AB2167">
        <v>3</v>
      </c>
      <c r="AC2167">
        <v>0</v>
      </c>
      <c r="AD2167">
        <v>10</v>
      </c>
      <c r="AE2167">
        <v>0</v>
      </c>
      <c r="AF2167">
        <v>0</v>
      </c>
      <c r="AG2167">
        <v>2</v>
      </c>
      <c r="AH2167">
        <v>1</v>
      </c>
      <c r="AI2167" t="s">
        <v>1130</v>
      </c>
      <c r="AJ2167">
        <v>35.847079999999998</v>
      </c>
      <c r="AK2167" t="s">
        <v>1131</v>
      </c>
      <c r="AL2167">
        <v>-83.956531999999996</v>
      </c>
      <c r="AM2167">
        <v>25</v>
      </c>
      <c r="AN2167">
        <v>1100</v>
      </c>
      <c r="AO2167" t="s">
        <v>118</v>
      </c>
      <c r="AP2167">
        <v>55</v>
      </c>
      <c r="AQ2167">
        <v>-77</v>
      </c>
      <c r="AR2167">
        <v>64</v>
      </c>
      <c r="AZ2167">
        <v>300</v>
      </c>
      <c r="BA2167">
        <v>1</v>
      </c>
      <c r="BB2167" t="str">
        <f t="shared" si="107"/>
        <v xml:space="preserve">N162AM  </v>
      </c>
      <c r="BC2167">
        <v>1</v>
      </c>
      <c r="BE2167">
        <v>0</v>
      </c>
      <c r="BF2167">
        <v>0</v>
      </c>
      <c r="BG2167">
        <v>0</v>
      </c>
      <c r="BH2167">
        <v>1350</v>
      </c>
      <c r="BI2167">
        <v>1</v>
      </c>
      <c r="BJ2167">
        <v>1</v>
      </c>
      <c r="BK2167">
        <v>1</v>
      </c>
      <c r="BL2167">
        <v>0</v>
      </c>
      <c r="BO2167">
        <v>0</v>
      </c>
      <c r="BP2167">
        <v>0</v>
      </c>
      <c r="BW2167" t="str">
        <f>"14:53:56.860"</f>
        <v>14:53:56.860</v>
      </c>
      <c r="CJ2167">
        <v>2</v>
      </c>
      <c r="CK2167">
        <v>2</v>
      </c>
      <c r="CL2167">
        <v>0</v>
      </c>
      <c r="CM2167">
        <v>2</v>
      </c>
      <c r="CN2167">
        <v>0</v>
      </c>
      <c r="CO2167">
        <v>5</v>
      </c>
      <c r="CP2167" t="s">
        <v>119</v>
      </c>
      <c r="CQ2167">
        <v>232</v>
      </c>
      <c r="CR2167">
        <v>1</v>
      </c>
      <c r="CW2167">
        <v>15850548</v>
      </c>
      <c r="CY2167">
        <v>1</v>
      </c>
      <c r="CZ2167">
        <v>0</v>
      </c>
      <c r="DA2167">
        <v>1</v>
      </c>
      <c r="DB2167">
        <v>0</v>
      </c>
      <c r="DC2167">
        <v>0</v>
      </c>
      <c r="DD2167">
        <v>1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3">
      <c r="A2168" t="str">
        <f>"12/16/2021 14:53:57.111"</f>
        <v>12/16/2021 14:53:57.111</v>
      </c>
      <c r="C2168" t="str">
        <f t="shared" si="106"/>
        <v>FFDFD3C0</v>
      </c>
      <c r="D2168" t="s">
        <v>124</v>
      </c>
      <c r="E2168">
        <v>5</v>
      </c>
      <c r="F2168">
        <v>1005</v>
      </c>
      <c r="G2168" t="s">
        <v>114</v>
      </c>
      <c r="J2168" t="s">
        <v>125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>"14:53:56.859"</f>
        <v>14:53:56.859</v>
      </c>
      <c r="T2168" t="str">
        <f>"14:53:56.359"</f>
        <v>14:53:56.359</v>
      </c>
      <c r="U2168" t="str">
        <f t="shared" si="105"/>
        <v>A0F928</v>
      </c>
      <c r="V2168">
        <v>0</v>
      </c>
      <c r="W2168">
        <v>0</v>
      </c>
      <c r="X2168">
        <v>2</v>
      </c>
      <c r="Z2168">
        <v>0</v>
      </c>
      <c r="AA2168">
        <v>9</v>
      </c>
      <c r="AB2168">
        <v>3</v>
      </c>
      <c r="AC2168">
        <v>0</v>
      </c>
      <c r="AD2168">
        <v>10</v>
      </c>
      <c r="AE2168">
        <v>0</v>
      </c>
      <c r="AF2168">
        <v>3</v>
      </c>
      <c r="AG2168">
        <v>2</v>
      </c>
      <c r="AH2168">
        <v>1</v>
      </c>
      <c r="AI2168" t="s">
        <v>1130</v>
      </c>
      <c r="AJ2168">
        <v>35.847079999999998</v>
      </c>
      <c r="AK2168" t="s">
        <v>1131</v>
      </c>
      <c r="AL2168">
        <v>-83.956531999999996</v>
      </c>
      <c r="AM2168">
        <v>25</v>
      </c>
      <c r="AN2168">
        <v>1100</v>
      </c>
      <c r="AO2168" t="s">
        <v>118</v>
      </c>
      <c r="AP2168">
        <v>55</v>
      </c>
      <c r="AQ2168">
        <v>-77</v>
      </c>
      <c r="AR2168">
        <v>64</v>
      </c>
      <c r="AZ2168">
        <v>300</v>
      </c>
      <c r="BA2168">
        <v>1</v>
      </c>
      <c r="BB2168" t="str">
        <f t="shared" si="107"/>
        <v xml:space="preserve">N162AM  </v>
      </c>
      <c r="BC2168">
        <v>1</v>
      </c>
      <c r="BE2168">
        <v>0</v>
      </c>
      <c r="BF2168">
        <v>0</v>
      </c>
      <c r="BG2168">
        <v>0</v>
      </c>
      <c r="BH2168">
        <v>1350</v>
      </c>
      <c r="BI2168">
        <v>1</v>
      </c>
      <c r="BJ2168">
        <v>1</v>
      </c>
      <c r="BK2168">
        <v>1</v>
      </c>
      <c r="BL2168">
        <v>0</v>
      </c>
      <c r="BO2168">
        <v>0</v>
      </c>
      <c r="BP2168">
        <v>0</v>
      </c>
      <c r="BW2168" t="str">
        <f>"14:53:56.860"</f>
        <v>14:53:56.860</v>
      </c>
      <c r="CJ2168">
        <v>3</v>
      </c>
      <c r="CK2168">
        <v>2</v>
      </c>
      <c r="CL2168">
        <v>0</v>
      </c>
      <c r="CM2168">
        <v>2</v>
      </c>
      <c r="CN2168">
        <v>0</v>
      </c>
      <c r="CO2168">
        <v>5</v>
      </c>
      <c r="CP2168" t="s">
        <v>119</v>
      </c>
      <c r="CQ2168">
        <v>232</v>
      </c>
      <c r="CR2168">
        <v>1</v>
      </c>
      <c r="CW2168">
        <v>15850548</v>
      </c>
      <c r="CY2168">
        <v>1</v>
      </c>
      <c r="CZ2168">
        <v>0</v>
      </c>
      <c r="DA2168">
        <v>1</v>
      </c>
      <c r="DB2168">
        <v>0</v>
      </c>
      <c r="DC2168">
        <v>0</v>
      </c>
      <c r="DD2168">
        <v>1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3">
      <c r="A2169" t="str">
        <f>"12/16/2021 14:53:57.111"</f>
        <v>12/16/2021 14:53:57.111</v>
      </c>
      <c r="C2169" t="str">
        <f t="shared" si="106"/>
        <v>FFDFD3C0</v>
      </c>
      <c r="D2169" t="s">
        <v>113</v>
      </c>
      <c r="E2169">
        <v>8</v>
      </c>
      <c r="H2169">
        <v>176</v>
      </c>
      <c r="I2169" t="s">
        <v>114</v>
      </c>
      <c r="J2169" t="s">
        <v>115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>"14:53:56.859"</f>
        <v>14:53:56.859</v>
      </c>
      <c r="T2169" t="str">
        <f>"14:53:56.359"</f>
        <v>14:53:56.359</v>
      </c>
      <c r="U2169" t="str">
        <f t="shared" si="105"/>
        <v>A0F928</v>
      </c>
      <c r="V2169">
        <v>0</v>
      </c>
      <c r="W2169">
        <v>0</v>
      </c>
      <c r="X2169">
        <v>2</v>
      </c>
      <c r="Z2169">
        <v>0</v>
      </c>
      <c r="AA2169">
        <v>9</v>
      </c>
      <c r="AB2169">
        <v>3</v>
      </c>
      <c r="AC2169">
        <v>0</v>
      </c>
      <c r="AD2169">
        <v>10</v>
      </c>
      <c r="AE2169">
        <v>0</v>
      </c>
      <c r="AF2169">
        <v>3</v>
      </c>
      <c r="AG2169">
        <v>2</v>
      </c>
      <c r="AH2169">
        <v>1</v>
      </c>
      <c r="AI2169" t="s">
        <v>1130</v>
      </c>
      <c r="AJ2169">
        <v>35.847079999999998</v>
      </c>
      <c r="AK2169" t="s">
        <v>1131</v>
      </c>
      <c r="AL2169">
        <v>-83.956531999999996</v>
      </c>
      <c r="AM2169">
        <v>25</v>
      </c>
      <c r="AN2169">
        <v>1100</v>
      </c>
      <c r="AO2169" t="s">
        <v>118</v>
      </c>
      <c r="AP2169">
        <v>55</v>
      </c>
      <c r="AQ2169">
        <v>-77</v>
      </c>
      <c r="AR2169">
        <v>64</v>
      </c>
      <c r="AZ2169">
        <v>300</v>
      </c>
      <c r="BA2169">
        <v>1</v>
      </c>
      <c r="BB2169" t="str">
        <f t="shared" si="107"/>
        <v xml:space="preserve">N162AM  </v>
      </c>
      <c r="BC2169">
        <v>1</v>
      </c>
      <c r="BE2169">
        <v>0</v>
      </c>
      <c r="BF2169">
        <v>0</v>
      </c>
      <c r="BG2169">
        <v>0</v>
      </c>
      <c r="BH2169">
        <v>1350</v>
      </c>
      <c r="BI2169">
        <v>1</v>
      </c>
      <c r="BJ2169">
        <v>1</v>
      </c>
      <c r="BK2169">
        <v>1</v>
      </c>
      <c r="BL2169">
        <v>0</v>
      </c>
      <c r="BO2169">
        <v>0</v>
      </c>
      <c r="BP2169">
        <v>0</v>
      </c>
      <c r="BW2169" t="str">
        <f>"14:53:56.860"</f>
        <v>14:53:56.860</v>
      </c>
      <c r="CJ2169">
        <v>3</v>
      </c>
      <c r="CK2169">
        <v>2</v>
      </c>
      <c r="CL2169">
        <v>0</v>
      </c>
      <c r="CM2169">
        <v>2</v>
      </c>
      <c r="CN2169">
        <v>0</v>
      </c>
      <c r="CO2169">
        <v>5</v>
      </c>
      <c r="CP2169" t="s">
        <v>119</v>
      </c>
      <c r="CQ2169">
        <v>232</v>
      </c>
      <c r="CR2169">
        <v>1</v>
      </c>
      <c r="CW2169">
        <v>15850548</v>
      </c>
      <c r="CY2169">
        <v>1</v>
      </c>
      <c r="CZ2169">
        <v>0</v>
      </c>
      <c r="DA2169">
        <v>1</v>
      </c>
      <c r="DB2169">
        <v>0</v>
      </c>
      <c r="DC2169">
        <v>0</v>
      </c>
      <c r="DD2169">
        <v>1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3">
      <c r="A2170" t="str">
        <f>"12/16/2021 14:53:58.142"</f>
        <v>12/16/2021 14:53:58.142</v>
      </c>
      <c r="C2170" t="str">
        <f t="shared" si="106"/>
        <v>FFDFD3C0</v>
      </c>
      <c r="D2170" t="s">
        <v>133</v>
      </c>
      <c r="E2170">
        <v>44</v>
      </c>
      <c r="H2170">
        <v>131</v>
      </c>
      <c r="I2170" t="s">
        <v>134</v>
      </c>
      <c r="J2170" t="s">
        <v>135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>"14:53:57.953"</f>
        <v>14:53:57.953</v>
      </c>
      <c r="T2170" t="str">
        <f>"14:53:57.453"</f>
        <v>14:53:57.453</v>
      </c>
      <c r="U2170" t="str">
        <f t="shared" si="105"/>
        <v>A0F928</v>
      </c>
      <c r="V2170">
        <v>0</v>
      </c>
      <c r="W2170">
        <v>0</v>
      </c>
      <c r="X2170">
        <v>2</v>
      </c>
      <c r="Z2170">
        <v>0</v>
      </c>
      <c r="AA2170">
        <v>9</v>
      </c>
      <c r="AB2170">
        <v>3</v>
      </c>
      <c r="AC2170">
        <v>0</v>
      </c>
      <c r="AD2170">
        <v>10</v>
      </c>
      <c r="AE2170">
        <v>0</v>
      </c>
      <c r="AF2170">
        <v>3</v>
      </c>
      <c r="AG2170">
        <v>2</v>
      </c>
      <c r="AH2170">
        <v>1</v>
      </c>
      <c r="AI2170" t="s">
        <v>1132</v>
      </c>
      <c r="AJ2170">
        <v>35.846736</v>
      </c>
      <c r="AK2170" t="s">
        <v>1133</v>
      </c>
      <c r="AL2170">
        <v>-83.956210999999996</v>
      </c>
      <c r="AM2170">
        <v>25</v>
      </c>
      <c r="AN2170">
        <v>1100</v>
      </c>
      <c r="AO2170" t="s">
        <v>118</v>
      </c>
      <c r="AP2170">
        <v>55</v>
      </c>
      <c r="AQ2170">
        <v>-76</v>
      </c>
      <c r="AR2170">
        <v>0</v>
      </c>
      <c r="AZ2170">
        <v>300</v>
      </c>
      <c r="BA2170">
        <v>1</v>
      </c>
      <c r="BB2170" t="str">
        <f t="shared" si="107"/>
        <v xml:space="preserve">N162AM  </v>
      </c>
      <c r="BC2170">
        <v>1</v>
      </c>
      <c r="BE2170">
        <v>0</v>
      </c>
      <c r="BF2170">
        <v>0</v>
      </c>
      <c r="BG2170">
        <v>0</v>
      </c>
      <c r="BH2170">
        <v>1350</v>
      </c>
      <c r="BI2170">
        <v>1</v>
      </c>
      <c r="BJ2170">
        <v>1</v>
      </c>
      <c r="BK2170">
        <v>1</v>
      </c>
      <c r="BL2170">
        <v>0</v>
      </c>
      <c r="BO2170">
        <v>0</v>
      </c>
      <c r="BP2170">
        <v>0</v>
      </c>
      <c r="BW2170" t="str">
        <f>"14:53:57.958"</f>
        <v>14:53:57.958</v>
      </c>
      <c r="CJ2170">
        <v>3</v>
      </c>
      <c r="CK2170">
        <v>2</v>
      </c>
      <c r="CL2170">
        <v>0</v>
      </c>
      <c r="CM2170">
        <v>2</v>
      </c>
      <c r="CN2170">
        <v>0</v>
      </c>
      <c r="CO2170">
        <v>6</v>
      </c>
      <c r="CP2170" t="s">
        <v>119</v>
      </c>
      <c r="CQ2170">
        <v>232</v>
      </c>
      <c r="CR2170">
        <v>1</v>
      </c>
      <c r="CW2170">
        <v>15852066</v>
      </c>
      <c r="CY2170">
        <v>1</v>
      </c>
      <c r="CZ2170">
        <v>0</v>
      </c>
      <c r="DA2170">
        <v>0</v>
      </c>
      <c r="DB2170">
        <v>0</v>
      </c>
      <c r="DC2170">
        <v>0</v>
      </c>
      <c r="DD2170">
        <v>1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3">
      <c r="A2171" t="str">
        <f>"12/16/2021 14:53:58.142"</f>
        <v>12/16/2021 14:53:58.142</v>
      </c>
      <c r="C2171" t="str">
        <f t="shared" si="106"/>
        <v>FFDFD3C0</v>
      </c>
      <c r="D2171" t="s">
        <v>124</v>
      </c>
      <c r="E2171">
        <v>10</v>
      </c>
      <c r="F2171">
        <v>1010</v>
      </c>
      <c r="G2171" t="s">
        <v>130</v>
      </c>
      <c r="J2171" t="s">
        <v>125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>"14:53:57.953"</f>
        <v>14:53:57.953</v>
      </c>
      <c r="T2171" t="str">
        <f>"14:53:57.453"</f>
        <v>14:53:57.453</v>
      </c>
      <c r="U2171" t="str">
        <f t="shared" si="105"/>
        <v>A0F928</v>
      </c>
      <c r="V2171">
        <v>0</v>
      </c>
      <c r="W2171">
        <v>0</v>
      </c>
      <c r="X2171">
        <v>2</v>
      </c>
      <c r="Z2171">
        <v>0</v>
      </c>
      <c r="AA2171">
        <v>9</v>
      </c>
      <c r="AB2171">
        <v>3</v>
      </c>
      <c r="AC2171">
        <v>0</v>
      </c>
      <c r="AD2171">
        <v>10</v>
      </c>
      <c r="AE2171">
        <v>0</v>
      </c>
      <c r="AF2171">
        <v>0</v>
      </c>
      <c r="AG2171">
        <v>2</v>
      </c>
      <c r="AH2171">
        <v>1</v>
      </c>
      <c r="AI2171" t="s">
        <v>1132</v>
      </c>
      <c r="AJ2171">
        <v>35.846736</v>
      </c>
      <c r="AK2171" t="s">
        <v>1133</v>
      </c>
      <c r="AL2171">
        <v>-83.956210999999996</v>
      </c>
      <c r="AM2171">
        <v>25</v>
      </c>
      <c r="AN2171">
        <v>1100</v>
      </c>
      <c r="AO2171" t="s">
        <v>118</v>
      </c>
      <c r="AP2171">
        <v>55</v>
      </c>
      <c r="AQ2171">
        <v>-76</v>
      </c>
      <c r="AR2171">
        <v>0</v>
      </c>
      <c r="AZ2171">
        <v>300</v>
      </c>
      <c r="BA2171">
        <v>1</v>
      </c>
      <c r="BB2171" t="str">
        <f t="shared" si="107"/>
        <v xml:space="preserve">N162AM  </v>
      </c>
      <c r="BC2171">
        <v>1</v>
      </c>
      <c r="BE2171">
        <v>0</v>
      </c>
      <c r="BF2171">
        <v>0</v>
      </c>
      <c r="BG2171">
        <v>0</v>
      </c>
      <c r="BH2171">
        <v>1350</v>
      </c>
      <c r="BI2171">
        <v>1</v>
      </c>
      <c r="BJ2171">
        <v>1</v>
      </c>
      <c r="BK2171">
        <v>1</v>
      </c>
      <c r="BL2171">
        <v>0</v>
      </c>
      <c r="BO2171">
        <v>0</v>
      </c>
      <c r="BP2171">
        <v>0</v>
      </c>
      <c r="BW2171" t="str">
        <f>"14:53:57.958"</f>
        <v>14:53:57.958</v>
      </c>
      <c r="CJ2171">
        <v>2</v>
      </c>
      <c r="CK2171">
        <v>2</v>
      </c>
      <c r="CL2171">
        <v>0</v>
      </c>
      <c r="CM2171">
        <v>2</v>
      </c>
      <c r="CN2171">
        <v>0</v>
      </c>
      <c r="CO2171">
        <v>6</v>
      </c>
      <c r="CP2171" t="s">
        <v>119</v>
      </c>
      <c r="CQ2171">
        <v>232</v>
      </c>
      <c r="CR2171">
        <v>1</v>
      </c>
      <c r="CW2171">
        <v>15852066</v>
      </c>
      <c r="CY2171">
        <v>1</v>
      </c>
      <c r="CZ2171">
        <v>0</v>
      </c>
      <c r="DA2171">
        <v>1</v>
      </c>
      <c r="DB2171">
        <v>0</v>
      </c>
      <c r="DC2171">
        <v>0</v>
      </c>
      <c r="DD2171">
        <v>1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3">
      <c r="A2172" t="str">
        <f>"12/16/2021 14:53:58.158"</f>
        <v>12/16/2021 14:53:58.158</v>
      </c>
      <c r="C2172" t="str">
        <f t="shared" si="106"/>
        <v>FFDFD3C0</v>
      </c>
      <c r="D2172" t="s">
        <v>124</v>
      </c>
      <c r="E2172">
        <v>5</v>
      </c>
      <c r="F2172">
        <v>1005</v>
      </c>
      <c r="G2172" t="s">
        <v>114</v>
      </c>
      <c r="J2172" t="s">
        <v>125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>"14:53:57.953"</f>
        <v>14:53:57.953</v>
      </c>
      <c r="T2172" t="str">
        <f>"14:53:57.453"</f>
        <v>14:53:57.453</v>
      </c>
      <c r="U2172" t="str">
        <f t="shared" si="105"/>
        <v>A0F928</v>
      </c>
      <c r="V2172">
        <v>0</v>
      </c>
      <c r="W2172">
        <v>0</v>
      </c>
      <c r="X2172">
        <v>2</v>
      </c>
      <c r="Z2172">
        <v>0</v>
      </c>
      <c r="AA2172">
        <v>9</v>
      </c>
      <c r="AB2172">
        <v>3</v>
      </c>
      <c r="AC2172">
        <v>0</v>
      </c>
      <c r="AD2172">
        <v>10</v>
      </c>
      <c r="AE2172">
        <v>0</v>
      </c>
      <c r="AF2172">
        <v>3</v>
      </c>
      <c r="AG2172">
        <v>2</v>
      </c>
      <c r="AH2172">
        <v>1</v>
      </c>
      <c r="AI2172" t="s">
        <v>1132</v>
      </c>
      <c r="AJ2172">
        <v>35.846736</v>
      </c>
      <c r="AK2172" t="s">
        <v>1133</v>
      </c>
      <c r="AL2172">
        <v>-83.956210999999996</v>
      </c>
      <c r="AM2172">
        <v>25</v>
      </c>
      <c r="AN2172">
        <v>1100</v>
      </c>
      <c r="AO2172" t="s">
        <v>118</v>
      </c>
      <c r="AP2172">
        <v>55</v>
      </c>
      <c r="AQ2172">
        <v>-76</v>
      </c>
      <c r="AR2172">
        <v>0</v>
      </c>
      <c r="AZ2172">
        <v>300</v>
      </c>
      <c r="BA2172">
        <v>1</v>
      </c>
      <c r="BB2172" t="str">
        <f t="shared" si="107"/>
        <v xml:space="preserve">N162AM  </v>
      </c>
      <c r="BC2172">
        <v>1</v>
      </c>
      <c r="BE2172">
        <v>0</v>
      </c>
      <c r="BF2172">
        <v>0</v>
      </c>
      <c r="BG2172">
        <v>0</v>
      </c>
      <c r="BH2172">
        <v>1350</v>
      </c>
      <c r="BI2172">
        <v>1</v>
      </c>
      <c r="BJ2172">
        <v>1</v>
      </c>
      <c r="BK2172">
        <v>1</v>
      </c>
      <c r="BL2172">
        <v>0</v>
      </c>
      <c r="BO2172">
        <v>0</v>
      </c>
      <c r="BP2172">
        <v>0</v>
      </c>
      <c r="BW2172" t="str">
        <f>"14:53:57.958"</f>
        <v>14:53:57.958</v>
      </c>
      <c r="CJ2172">
        <v>3</v>
      </c>
      <c r="CK2172">
        <v>2</v>
      </c>
      <c r="CL2172">
        <v>0</v>
      </c>
      <c r="CM2172">
        <v>2</v>
      </c>
      <c r="CN2172">
        <v>0</v>
      </c>
      <c r="CO2172">
        <v>6</v>
      </c>
      <c r="CP2172" t="s">
        <v>119</v>
      </c>
      <c r="CQ2172">
        <v>232</v>
      </c>
      <c r="CR2172">
        <v>1</v>
      </c>
      <c r="CW2172">
        <v>15852066</v>
      </c>
      <c r="CY2172">
        <v>1</v>
      </c>
      <c r="CZ2172">
        <v>0</v>
      </c>
      <c r="DA2172">
        <v>1</v>
      </c>
      <c r="DB2172">
        <v>0</v>
      </c>
      <c r="DC2172">
        <v>0</v>
      </c>
      <c r="DD2172">
        <v>1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3">
      <c r="A2173" t="str">
        <f>"12/16/2021 14:53:58.174"</f>
        <v>12/16/2021 14:53:58.174</v>
      </c>
      <c r="C2173" t="str">
        <f t="shared" si="106"/>
        <v>FFDFD3C0</v>
      </c>
      <c r="D2173" t="s">
        <v>113</v>
      </c>
      <c r="E2173">
        <v>8</v>
      </c>
      <c r="H2173">
        <v>176</v>
      </c>
      <c r="I2173" t="s">
        <v>114</v>
      </c>
      <c r="J2173" t="s">
        <v>115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>"14:53:57.953"</f>
        <v>14:53:57.953</v>
      </c>
      <c r="T2173" t="str">
        <f>"14:53:57.453"</f>
        <v>14:53:57.453</v>
      </c>
      <c r="U2173" t="str">
        <f t="shared" si="105"/>
        <v>A0F928</v>
      </c>
      <c r="V2173">
        <v>0</v>
      </c>
      <c r="W2173">
        <v>0</v>
      </c>
      <c r="X2173">
        <v>2</v>
      </c>
      <c r="Z2173">
        <v>0</v>
      </c>
      <c r="AA2173">
        <v>9</v>
      </c>
      <c r="AB2173">
        <v>3</v>
      </c>
      <c r="AC2173">
        <v>0</v>
      </c>
      <c r="AD2173">
        <v>10</v>
      </c>
      <c r="AE2173">
        <v>0</v>
      </c>
      <c r="AF2173">
        <v>3</v>
      </c>
      <c r="AG2173">
        <v>2</v>
      </c>
      <c r="AH2173">
        <v>1</v>
      </c>
      <c r="AI2173" t="s">
        <v>1132</v>
      </c>
      <c r="AJ2173">
        <v>35.846736</v>
      </c>
      <c r="AK2173" t="s">
        <v>1133</v>
      </c>
      <c r="AL2173">
        <v>-83.956210999999996</v>
      </c>
      <c r="AM2173">
        <v>25</v>
      </c>
      <c r="AN2173">
        <v>1100</v>
      </c>
      <c r="AO2173" t="s">
        <v>118</v>
      </c>
      <c r="AP2173">
        <v>55</v>
      </c>
      <c r="AQ2173">
        <v>-76</v>
      </c>
      <c r="AR2173">
        <v>0</v>
      </c>
      <c r="AZ2173">
        <v>300</v>
      </c>
      <c r="BA2173">
        <v>1</v>
      </c>
      <c r="BB2173" t="str">
        <f t="shared" si="107"/>
        <v xml:space="preserve">N162AM  </v>
      </c>
      <c r="BC2173">
        <v>1</v>
      </c>
      <c r="BE2173">
        <v>0</v>
      </c>
      <c r="BF2173">
        <v>0</v>
      </c>
      <c r="BG2173">
        <v>0</v>
      </c>
      <c r="BH2173">
        <v>1350</v>
      </c>
      <c r="BI2173">
        <v>1</v>
      </c>
      <c r="BJ2173">
        <v>1</v>
      </c>
      <c r="BK2173">
        <v>1</v>
      </c>
      <c r="BL2173">
        <v>0</v>
      </c>
      <c r="BO2173">
        <v>0</v>
      </c>
      <c r="BP2173">
        <v>0</v>
      </c>
      <c r="BW2173" t="str">
        <f>"14:53:57.958"</f>
        <v>14:53:57.958</v>
      </c>
      <c r="CJ2173">
        <v>3</v>
      </c>
      <c r="CK2173">
        <v>2</v>
      </c>
      <c r="CL2173">
        <v>0</v>
      </c>
      <c r="CM2173">
        <v>2</v>
      </c>
      <c r="CN2173">
        <v>0</v>
      </c>
      <c r="CO2173">
        <v>6</v>
      </c>
      <c r="CP2173" t="s">
        <v>119</v>
      </c>
      <c r="CQ2173">
        <v>232</v>
      </c>
      <c r="CR2173">
        <v>1</v>
      </c>
      <c r="CW2173">
        <v>15852066</v>
      </c>
      <c r="CY2173">
        <v>1</v>
      </c>
      <c r="CZ2173">
        <v>0</v>
      </c>
      <c r="DA2173">
        <v>1</v>
      </c>
      <c r="DB2173">
        <v>0</v>
      </c>
      <c r="DC2173">
        <v>0</v>
      </c>
      <c r="DD2173">
        <v>1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3">
      <c r="A2174" t="str">
        <f>"12/16/2021 14:53:59.236"</f>
        <v>12/16/2021 14:53:59.236</v>
      </c>
      <c r="C2174" t="str">
        <f t="shared" si="106"/>
        <v>FFDFD3C0</v>
      </c>
      <c r="D2174" t="s">
        <v>113</v>
      </c>
      <c r="E2174">
        <v>8</v>
      </c>
      <c r="H2174">
        <v>176</v>
      </c>
      <c r="I2174" t="s">
        <v>114</v>
      </c>
      <c r="J2174" t="s">
        <v>115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>"14:53:58.953"</f>
        <v>14:53:58.953</v>
      </c>
      <c r="T2174" t="str">
        <f>"14:53:58.553"</f>
        <v>14:53:58.553</v>
      </c>
      <c r="U2174" t="str">
        <f t="shared" si="105"/>
        <v>A0F928</v>
      </c>
      <c r="V2174">
        <v>0</v>
      </c>
      <c r="W2174">
        <v>0</v>
      </c>
      <c r="X2174">
        <v>2</v>
      </c>
      <c r="Z2174">
        <v>0</v>
      </c>
      <c r="AA2174">
        <v>9</v>
      </c>
      <c r="AB2174">
        <v>3</v>
      </c>
      <c r="AC2174">
        <v>0</v>
      </c>
      <c r="AD2174">
        <v>10</v>
      </c>
      <c r="AE2174">
        <v>0</v>
      </c>
      <c r="AF2174">
        <v>3</v>
      </c>
      <c r="AG2174">
        <v>2</v>
      </c>
      <c r="AH2174">
        <v>1</v>
      </c>
      <c r="AI2174" t="s">
        <v>991</v>
      </c>
      <c r="AJ2174">
        <v>35.846392999999999</v>
      </c>
      <c r="AK2174" t="s">
        <v>1134</v>
      </c>
      <c r="AL2174">
        <v>-83.955932000000004</v>
      </c>
      <c r="AM2174">
        <v>25</v>
      </c>
      <c r="AN2174">
        <v>1100</v>
      </c>
      <c r="AO2174" t="s">
        <v>118</v>
      </c>
      <c r="AP2174">
        <v>54</v>
      </c>
      <c r="AQ2174">
        <v>-76</v>
      </c>
      <c r="AR2174">
        <v>-64</v>
      </c>
      <c r="AZ2174">
        <v>300</v>
      </c>
      <c r="BA2174">
        <v>1</v>
      </c>
      <c r="BB2174" t="str">
        <f t="shared" si="107"/>
        <v xml:space="preserve">N162AM  </v>
      </c>
      <c r="BC2174">
        <v>1</v>
      </c>
      <c r="BE2174">
        <v>0</v>
      </c>
      <c r="BF2174">
        <v>0</v>
      </c>
      <c r="BG2174">
        <v>0</v>
      </c>
      <c r="BH2174">
        <v>1350</v>
      </c>
      <c r="BI2174">
        <v>1</v>
      </c>
      <c r="BJ2174">
        <v>1</v>
      </c>
      <c r="BK2174">
        <v>1</v>
      </c>
      <c r="BL2174">
        <v>0</v>
      </c>
      <c r="BO2174">
        <v>0</v>
      </c>
      <c r="BP2174">
        <v>0</v>
      </c>
      <c r="BW2174" t="str">
        <f>"14:53:58.954"</f>
        <v>14:53:58.954</v>
      </c>
      <c r="CJ2174">
        <v>3</v>
      </c>
      <c r="CK2174">
        <v>2</v>
      </c>
      <c r="CL2174">
        <v>0</v>
      </c>
      <c r="CM2174">
        <v>2</v>
      </c>
      <c r="CN2174">
        <v>0</v>
      </c>
      <c r="CO2174">
        <v>6</v>
      </c>
      <c r="CP2174" t="s">
        <v>119</v>
      </c>
      <c r="CQ2174">
        <v>232</v>
      </c>
      <c r="CR2174">
        <v>1</v>
      </c>
      <c r="CW2174">
        <v>15853529</v>
      </c>
      <c r="CY2174">
        <v>1</v>
      </c>
      <c r="CZ2174">
        <v>0</v>
      </c>
      <c r="DA2174">
        <v>0</v>
      </c>
      <c r="DB2174">
        <v>0</v>
      </c>
      <c r="DC2174">
        <v>0</v>
      </c>
      <c r="DD2174">
        <v>1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3">
      <c r="A2175" t="str">
        <f>"12/16/2021 14:53:59.236"</f>
        <v>12/16/2021 14:53:59.236</v>
      </c>
      <c r="C2175" t="str">
        <f t="shared" si="106"/>
        <v>FFDFD3C0</v>
      </c>
      <c r="D2175" t="s">
        <v>124</v>
      </c>
      <c r="E2175">
        <v>10</v>
      </c>
      <c r="F2175">
        <v>1010</v>
      </c>
      <c r="G2175" t="s">
        <v>130</v>
      </c>
      <c r="J2175" t="s">
        <v>125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>"14:53:58.953"</f>
        <v>14:53:58.953</v>
      </c>
      <c r="T2175" t="str">
        <f>"14:53:58.553"</f>
        <v>14:53:58.553</v>
      </c>
      <c r="U2175" t="str">
        <f t="shared" si="105"/>
        <v>A0F928</v>
      </c>
      <c r="V2175">
        <v>0</v>
      </c>
      <c r="W2175">
        <v>0</v>
      </c>
      <c r="X2175">
        <v>2</v>
      </c>
      <c r="Z2175">
        <v>0</v>
      </c>
      <c r="AA2175">
        <v>9</v>
      </c>
      <c r="AB2175">
        <v>3</v>
      </c>
      <c r="AC2175">
        <v>0</v>
      </c>
      <c r="AD2175">
        <v>10</v>
      </c>
      <c r="AE2175">
        <v>0</v>
      </c>
      <c r="AF2175">
        <v>0</v>
      </c>
      <c r="AG2175">
        <v>2</v>
      </c>
      <c r="AH2175">
        <v>1</v>
      </c>
      <c r="AI2175" t="s">
        <v>991</v>
      </c>
      <c r="AJ2175">
        <v>35.846392999999999</v>
      </c>
      <c r="AK2175" t="s">
        <v>1134</v>
      </c>
      <c r="AL2175">
        <v>-83.955932000000004</v>
      </c>
      <c r="AM2175">
        <v>25</v>
      </c>
      <c r="AN2175">
        <v>1100</v>
      </c>
      <c r="AO2175" t="s">
        <v>118</v>
      </c>
      <c r="AP2175">
        <v>54</v>
      </c>
      <c r="AQ2175">
        <v>-76</v>
      </c>
      <c r="AR2175">
        <v>-64</v>
      </c>
      <c r="AZ2175">
        <v>300</v>
      </c>
      <c r="BA2175">
        <v>1</v>
      </c>
      <c r="BB2175" t="str">
        <f t="shared" si="107"/>
        <v xml:space="preserve">N162AM  </v>
      </c>
      <c r="BC2175">
        <v>1</v>
      </c>
      <c r="BE2175">
        <v>0</v>
      </c>
      <c r="BF2175">
        <v>0</v>
      </c>
      <c r="BG2175">
        <v>0</v>
      </c>
      <c r="BH2175">
        <v>1350</v>
      </c>
      <c r="BI2175">
        <v>1</v>
      </c>
      <c r="BJ2175">
        <v>1</v>
      </c>
      <c r="BK2175">
        <v>1</v>
      </c>
      <c r="BL2175">
        <v>0</v>
      </c>
      <c r="BO2175">
        <v>0</v>
      </c>
      <c r="BP2175">
        <v>0</v>
      </c>
      <c r="BW2175" t="str">
        <f>"14:53:58.954"</f>
        <v>14:53:58.954</v>
      </c>
      <c r="CJ2175">
        <v>2</v>
      </c>
      <c r="CK2175">
        <v>2</v>
      </c>
      <c r="CL2175">
        <v>0</v>
      </c>
      <c r="CM2175">
        <v>2</v>
      </c>
      <c r="CN2175">
        <v>0</v>
      </c>
      <c r="CO2175">
        <v>6</v>
      </c>
      <c r="CP2175" t="s">
        <v>119</v>
      </c>
      <c r="CQ2175">
        <v>232</v>
      </c>
      <c r="CR2175">
        <v>1</v>
      </c>
      <c r="CW2175">
        <v>15853529</v>
      </c>
      <c r="CY2175">
        <v>1</v>
      </c>
      <c r="CZ2175">
        <v>0</v>
      </c>
      <c r="DA2175">
        <v>1</v>
      </c>
      <c r="DB2175">
        <v>0</v>
      </c>
      <c r="DC2175">
        <v>0</v>
      </c>
      <c r="DD2175">
        <v>1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3">
      <c r="A2176" t="str">
        <f>"12/16/2021 14:53:59.236"</f>
        <v>12/16/2021 14:53:59.236</v>
      </c>
      <c r="C2176" t="str">
        <f t="shared" si="106"/>
        <v>FFDFD3C0</v>
      </c>
      <c r="D2176" t="s">
        <v>133</v>
      </c>
      <c r="E2176">
        <v>44</v>
      </c>
      <c r="H2176">
        <v>131</v>
      </c>
      <c r="I2176" t="s">
        <v>134</v>
      </c>
      <c r="J2176" t="s">
        <v>135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>"14:53:58.953"</f>
        <v>14:53:58.953</v>
      </c>
      <c r="T2176" t="str">
        <f>"14:53:58.553"</f>
        <v>14:53:58.553</v>
      </c>
      <c r="U2176" t="str">
        <f t="shared" si="105"/>
        <v>A0F928</v>
      </c>
      <c r="V2176">
        <v>0</v>
      </c>
      <c r="W2176">
        <v>0</v>
      </c>
      <c r="X2176">
        <v>2</v>
      </c>
      <c r="Z2176">
        <v>0</v>
      </c>
      <c r="AA2176">
        <v>9</v>
      </c>
      <c r="AB2176">
        <v>3</v>
      </c>
      <c r="AC2176">
        <v>0</v>
      </c>
      <c r="AD2176">
        <v>10</v>
      </c>
      <c r="AE2176">
        <v>0</v>
      </c>
      <c r="AF2176">
        <v>3</v>
      </c>
      <c r="AG2176">
        <v>2</v>
      </c>
      <c r="AH2176">
        <v>1</v>
      </c>
      <c r="AI2176" t="s">
        <v>991</v>
      </c>
      <c r="AJ2176">
        <v>35.846392999999999</v>
      </c>
      <c r="AK2176" t="s">
        <v>1134</v>
      </c>
      <c r="AL2176">
        <v>-83.955932000000004</v>
      </c>
      <c r="AM2176">
        <v>25</v>
      </c>
      <c r="AN2176">
        <v>1100</v>
      </c>
      <c r="AO2176" t="s">
        <v>118</v>
      </c>
      <c r="AP2176">
        <v>54</v>
      </c>
      <c r="AQ2176">
        <v>-76</v>
      </c>
      <c r="AR2176">
        <v>-64</v>
      </c>
      <c r="AZ2176">
        <v>300</v>
      </c>
      <c r="BA2176">
        <v>1</v>
      </c>
      <c r="BB2176" t="str">
        <f t="shared" si="107"/>
        <v xml:space="preserve">N162AM  </v>
      </c>
      <c r="BC2176">
        <v>1</v>
      </c>
      <c r="BE2176">
        <v>0</v>
      </c>
      <c r="BF2176">
        <v>0</v>
      </c>
      <c r="BG2176">
        <v>0</v>
      </c>
      <c r="BH2176">
        <v>1350</v>
      </c>
      <c r="BI2176">
        <v>1</v>
      </c>
      <c r="BJ2176">
        <v>1</v>
      </c>
      <c r="BK2176">
        <v>1</v>
      </c>
      <c r="BL2176">
        <v>0</v>
      </c>
      <c r="BO2176">
        <v>0</v>
      </c>
      <c r="BP2176">
        <v>0</v>
      </c>
      <c r="BW2176" t="str">
        <f>"14:53:58.954"</f>
        <v>14:53:58.954</v>
      </c>
      <c r="CJ2176">
        <v>3</v>
      </c>
      <c r="CK2176">
        <v>2</v>
      </c>
      <c r="CL2176">
        <v>0</v>
      </c>
      <c r="CM2176">
        <v>2</v>
      </c>
      <c r="CN2176">
        <v>0</v>
      </c>
      <c r="CO2176">
        <v>6</v>
      </c>
      <c r="CP2176" t="s">
        <v>119</v>
      </c>
      <c r="CQ2176">
        <v>232</v>
      </c>
      <c r="CR2176">
        <v>1</v>
      </c>
      <c r="CW2176">
        <v>15853529</v>
      </c>
      <c r="CY2176">
        <v>1</v>
      </c>
      <c r="CZ2176">
        <v>0</v>
      </c>
      <c r="DA2176">
        <v>1</v>
      </c>
      <c r="DB2176">
        <v>0</v>
      </c>
      <c r="DC2176">
        <v>0</v>
      </c>
      <c r="DD2176">
        <v>1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3">
      <c r="A2177" t="str">
        <f>"12/16/2021 14:53:59.236"</f>
        <v>12/16/2021 14:53:59.236</v>
      </c>
      <c r="C2177" t="str">
        <f t="shared" si="106"/>
        <v>FFDFD3C0</v>
      </c>
      <c r="D2177" t="s">
        <v>124</v>
      </c>
      <c r="E2177">
        <v>5</v>
      </c>
      <c r="F2177">
        <v>1005</v>
      </c>
      <c r="G2177" t="s">
        <v>114</v>
      </c>
      <c r="J2177" t="s">
        <v>125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>"14:53:58.953"</f>
        <v>14:53:58.953</v>
      </c>
      <c r="T2177" t="str">
        <f>"14:53:58.553"</f>
        <v>14:53:58.553</v>
      </c>
      <c r="U2177" t="str">
        <f t="shared" si="105"/>
        <v>A0F928</v>
      </c>
      <c r="V2177">
        <v>0</v>
      </c>
      <c r="W2177">
        <v>0</v>
      </c>
      <c r="X2177">
        <v>2</v>
      </c>
      <c r="Z2177">
        <v>0</v>
      </c>
      <c r="AA2177">
        <v>9</v>
      </c>
      <c r="AB2177">
        <v>3</v>
      </c>
      <c r="AC2177">
        <v>0</v>
      </c>
      <c r="AD2177">
        <v>10</v>
      </c>
      <c r="AE2177">
        <v>0</v>
      </c>
      <c r="AF2177">
        <v>3</v>
      </c>
      <c r="AG2177">
        <v>2</v>
      </c>
      <c r="AH2177">
        <v>1</v>
      </c>
      <c r="AI2177" t="s">
        <v>991</v>
      </c>
      <c r="AJ2177">
        <v>35.846392999999999</v>
      </c>
      <c r="AK2177" t="s">
        <v>1134</v>
      </c>
      <c r="AL2177">
        <v>-83.955932000000004</v>
      </c>
      <c r="AM2177">
        <v>25</v>
      </c>
      <c r="AN2177">
        <v>1100</v>
      </c>
      <c r="AO2177" t="s">
        <v>118</v>
      </c>
      <c r="AP2177">
        <v>54</v>
      </c>
      <c r="AQ2177">
        <v>-76</v>
      </c>
      <c r="AR2177">
        <v>-64</v>
      </c>
      <c r="AZ2177">
        <v>300</v>
      </c>
      <c r="BA2177">
        <v>1</v>
      </c>
      <c r="BB2177" t="str">
        <f t="shared" si="107"/>
        <v xml:space="preserve">N162AM  </v>
      </c>
      <c r="BC2177">
        <v>1</v>
      </c>
      <c r="BE2177">
        <v>0</v>
      </c>
      <c r="BF2177">
        <v>0</v>
      </c>
      <c r="BG2177">
        <v>0</v>
      </c>
      <c r="BH2177">
        <v>1350</v>
      </c>
      <c r="BI2177">
        <v>1</v>
      </c>
      <c r="BJ2177">
        <v>1</v>
      </c>
      <c r="BK2177">
        <v>1</v>
      </c>
      <c r="BL2177">
        <v>0</v>
      </c>
      <c r="BO2177">
        <v>0</v>
      </c>
      <c r="BP2177">
        <v>0</v>
      </c>
      <c r="BW2177" t="str">
        <f>"14:53:58.954"</f>
        <v>14:53:58.954</v>
      </c>
      <c r="CJ2177">
        <v>3</v>
      </c>
      <c r="CK2177">
        <v>2</v>
      </c>
      <c r="CL2177">
        <v>0</v>
      </c>
      <c r="CM2177">
        <v>2</v>
      </c>
      <c r="CN2177">
        <v>0</v>
      </c>
      <c r="CO2177">
        <v>6</v>
      </c>
      <c r="CP2177" t="s">
        <v>119</v>
      </c>
      <c r="CQ2177">
        <v>232</v>
      </c>
      <c r="CR2177">
        <v>1</v>
      </c>
      <c r="CW2177">
        <v>15853529</v>
      </c>
      <c r="CY2177">
        <v>1</v>
      </c>
      <c r="CZ2177">
        <v>0</v>
      </c>
      <c r="DA2177">
        <v>1</v>
      </c>
      <c r="DB2177">
        <v>0</v>
      </c>
      <c r="DC2177">
        <v>0</v>
      </c>
      <c r="DD2177">
        <v>1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3">
      <c r="A2178" t="str">
        <f>"12/16/2021 14:54:00.086"</f>
        <v>12/16/2021 14:54:00.086</v>
      </c>
      <c r="C2178" t="str">
        <f t="shared" si="106"/>
        <v>FFDFD3C0</v>
      </c>
      <c r="D2178" t="s">
        <v>113</v>
      </c>
      <c r="E2178">
        <v>8</v>
      </c>
      <c r="H2178">
        <v>176</v>
      </c>
      <c r="I2178" t="s">
        <v>114</v>
      </c>
      <c r="J2178" t="s">
        <v>115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>"14:53:59.883"</f>
        <v>14:53:59.883</v>
      </c>
      <c r="T2178" t="str">
        <f>"14:53:58.983"</f>
        <v>14:53:58.983</v>
      </c>
      <c r="U2178" t="str">
        <f t="shared" ref="U2178:U2241" si="108">"A0F928"</f>
        <v>A0F928</v>
      </c>
      <c r="V2178">
        <v>0</v>
      </c>
      <c r="W2178">
        <v>0</v>
      </c>
      <c r="X2178">
        <v>2</v>
      </c>
      <c r="Z2178">
        <v>0</v>
      </c>
      <c r="AA2178">
        <v>9</v>
      </c>
      <c r="AB2178">
        <v>3</v>
      </c>
      <c r="AC2178">
        <v>0</v>
      </c>
      <c r="AD2178">
        <v>10</v>
      </c>
      <c r="AE2178">
        <v>0</v>
      </c>
      <c r="AF2178">
        <v>3</v>
      </c>
      <c r="AG2178">
        <v>2</v>
      </c>
      <c r="AH2178">
        <v>1</v>
      </c>
      <c r="AI2178" t="s">
        <v>989</v>
      </c>
      <c r="AJ2178">
        <v>35.846071000000002</v>
      </c>
      <c r="AK2178" t="s">
        <v>1135</v>
      </c>
      <c r="AL2178">
        <v>-83.955652999999998</v>
      </c>
      <c r="AM2178">
        <v>25</v>
      </c>
      <c r="AN2178">
        <v>1100</v>
      </c>
      <c r="AO2178" t="s">
        <v>118</v>
      </c>
      <c r="AP2178">
        <v>54</v>
      </c>
      <c r="AQ2178">
        <v>-76</v>
      </c>
      <c r="AR2178">
        <v>-64</v>
      </c>
      <c r="AZ2178">
        <v>300</v>
      </c>
      <c r="BA2178">
        <v>1</v>
      </c>
      <c r="BB2178" t="str">
        <f t="shared" si="107"/>
        <v xml:space="preserve">N162AM  </v>
      </c>
      <c r="BC2178">
        <v>1</v>
      </c>
      <c r="BE2178">
        <v>0</v>
      </c>
      <c r="BF2178">
        <v>0</v>
      </c>
      <c r="BG2178">
        <v>0</v>
      </c>
      <c r="BH2178">
        <v>1350</v>
      </c>
      <c r="BI2178">
        <v>1</v>
      </c>
      <c r="BJ2178">
        <v>1</v>
      </c>
      <c r="BK2178">
        <v>1</v>
      </c>
      <c r="BL2178">
        <v>0</v>
      </c>
      <c r="BO2178">
        <v>0</v>
      </c>
      <c r="BP2178">
        <v>0</v>
      </c>
      <c r="BW2178" t="str">
        <f>"14:53:59.885"</f>
        <v>14:53:59.885</v>
      </c>
      <c r="CJ2178">
        <v>3</v>
      </c>
      <c r="CK2178">
        <v>2</v>
      </c>
      <c r="CL2178">
        <v>0</v>
      </c>
      <c r="CM2178">
        <v>2</v>
      </c>
      <c r="CN2178">
        <v>0</v>
      </c>
      <c r="CO2178">
        <v>5</v>
      </c>
      <c r="CP2178" t="s">
        <v>119</v>
      </c>
      <c r="CQ2178">
        <v>232</v>
      </c>
      <c r="CR2178">
        <v>2</v>
      </c>
      <c r="CW2178">
        <v>7075238</v>
      </c>
      <c r="CY2178">
        <v>1</v>
      </c>
      <c r="CZ2178">
        <v>0</v>
      </c>
      <c r="DA2178">
        <v>0</v>
      </c>
      <c r="DB2178">
        <v>0</v>
      </c>
      <c r="DC2178">
        <v>0</v>
      </c>
      <c r="DD2178">
        <v>1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3">
      <c r="A2179" t="str">
        <f>"12/16/2021 14:54:00.133"</f>
        <v>12/16/2021 14:54:00.133</v>
      </c>
      <c r="C2179" t="str">
        <f t="shared" si="106"/>
        <v>FFDFD3C0</v>
      </c>
      <c r="D2179" t="s">
        <v>124</v>
      </c>
      <c r="E2179">
        <v>10</v>
      </c>
      <c r="F2179">
        <v>1010</v>
      </c>
      <c r="G2179" t="s">
        <v>130</v>
      </c>
      <c r="J2179" t="s">
        <v>125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>"14:53:59.883"</f>
        <v>14:53:59.883</v>
      </c>
      <c r="T2179" t="str">
        <f>"14:53:58.983"</f>
        <v>14:53:58.983</v>
      </c>
      <c r="U2179" t="str">
        <f t="shared" si="108"/>
        <v>A0F928</v>
      </c>
      <c r="V2179">
        <v>0</v>
      </c>
      <c r="W2179">
        <v>0</v>
      </c>
      <c r="X2179">
        <v>2</v>
      </c>
      <c r="Z2179">
        <v>0</v>
      </c>
      <c r="AA2179">
        <v>9</v>
      </c>
      <c r="AB2179">
        <v>3</v>
      </c>
      <c r="AC2179">
        <v>0</v>
      </c>
      <c r="AD2179">
        <v>10</v>
      </c>
      <c r="AE2179">
        <v>0</v>
      </c>
      <c r="AF2179">
        <v>0</v>
      </c>
      <c r="AG2179">
        <v>2</v>
      </c>
      <c r="AH2179">
        <v>1</v>
      </c>
      <c r="AI2179" t="s">
        <v>989</v>
      </c>
      <c r="AJ2179">
        <v>35.846071000000002</v>
      </c>
      <c r="AK2179" t="s">
        <v>1135</v>
      </c>
      <c r="AL2179">
        <v>-83.955652999999998</v>
      </c>
      <c r="AM2179">
        <v>25</v>
      </c>
      <c r="AN2179">
        <v>1100</v>
      </c>
      <c r="AO2179" t="s">
        <v>118</v>
      </c>
      <c r="AP2179">
        <v>54</v>
      </c>
      <c r="AQ2179">
        <v>-76</v>
      </c>
      <c r="AR2179">
        <v>-64</v>
      </c>
      <c r="AZ2179">
        <v>300</v>
      </c>
      <c r="BA2179">
        <v>1</v>
      </c>
      <c r="BB2179" t="str">
        <f t="shared" si="107"/>
        <v xml:space="preserve">N162AM  </v>
      </c>
      <c r="BC2179">
        <v>1</v>
      </c>
      <c r="BE2179">
        <v>0</v>
      </c>
      <c r="BF2179">
        <v>0</v>
      </c>
      <c r="BG2179">
        <v>0</v>
      </c>
      <c r="BH2179">
        <v>1350</v>
      </c>
      <c r="BI2179">
        <v>1</v>
      </c>
      <c r="BJ2179">
        <v>1</v>
      </c>
      <c r="BK2179">
        <v>1</v>
      </c>
      <c r="BL2179">
        <v>0</v>
      </c>
      <c r="BO2179">
        <v>0</v>
      </c>
      <c r="BP2179">
        <v>0</v>
      </c>
      <c r="BW2179" t="str">
        <f>"14:53:59.885"</f>
        <v>14:53:59.885</v>
      </c>
      <c r="CJ2179">
        <v>2</v>
      </c>
      <c r="CK2179">
        <v>2</v>
      </c>
      <c r="CL2179">
        <v>0</v>
      </c>
      <c r="CM2179">
        <v>2</v>
      </c>
      <c r="CN2179">
        <v>0</v>
      </c>
      <c r="CO2179">
        <v>5</v>
      </c>
      <c r="CP2179" t="s">
        <v>119</v>
      </c>
      <c r="CQ2179">
        <v>232</v>
      </c>
      <c r="CR2179">
        <v>2</v>
      </c>
      <c r="CW2179">
        <v>7075238</v>
      </c>
      <c r="CY2179">
        <v>1</v>
      </c>
      <c r="CZ2179">
        <v>0</v>
      </c>
      <c r="DA2179">
        <v>1</v>
      </c>
      <c r="DB2179">
        <v>0</v>
      </c>
      <c r="DC2179">
        <v>0</v>
      </c>
      <c r="DD2179">
        <v>1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3">
      <c r="A2180" t="str">
        <f>"12/16/2021 14:54:00.149"</f>
        <v>12/16/2021 14:54:00.149</v>
      </c>
      <c r="C2180" t="str">
        <f t="shared" si="106"/>
        <v>FFDFD3C0</v>
      </c>
      <c r="D2180" t="s">
        <v>133</v>
      </c>
      <c r="E2180">
        <v>44</v>
      </c>
      <c r="H2180">
        <v>131</v>
      </c>
      <c r="I2180" t="s">
        <v>134</v>
      </c>
      <c r="J2180" t="s">
        <v>135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>"14:53:59.883"</f>
        <v>14:53:59.883</v>
      </c>
      <c r="T2180" t="str">
        <f>"14:53:58.983"</f>
        <v>14:53:58.983</v>
      </c>
      <c r="U2180" t="str">
        <f t="shared" si="108"/>
        <v>A0F928</v>
      </c>
      <c r="V2180">
        <v>0</v>
      </c>
      <c r="W2180">
        <v>0</v>
      </c>
      <c r="X2180">
        <v>2</v>
      </c>
      <c r="Z2180">
        <v>0</v>
      </c>
      <c r="AA2180">
        <v>9</v>
      </c>
      <c r="AB2180">
        <v>3</v>
      </c>
      <c r="AC2180">
        <v>0</v>
      </c>
      <c r="AD2180">
        <v>10</v>
      </c>
      <c r="AE2180">
        <v>0</v>
      </c>
      <c r="AF2180">
        <v>3</v>
      </c>
      <c r="AG2180">
        <v>2</v>
      </c>
      <c r="AH2180">
        <v>1</v>
      </c>
      <c r="AI2180" t="s">
        <v>989</v>
      </c>
      <c r="AJ2180">
        <v>35.846071000000002</v>
      </c>
      <c r="AK2180" t="s">
        <v>1135</v>
      </c>
      <c r="AL2180">
        <v>-83.955652999999998</v>
      </c>
      <c r="AM2180">
        <v>25</v>
      </c>
      <c r="AN2180">
        <v>1100</v>
      </c>
      <c r="AO2180" t="s">
        <v>118</v>
      </c>
      <c r="AP2180">
        <v>54</v>
      </c>
      <c r="AQ2180">
        <v>-76</v>
      </c>
      <c r="AR2180">
        <v>-64</v>
      </c>
      <c r="AZ2180">
        <v>300</v>
      </c>
      <c r="BA2180">
        <v>1</v>
      </c>
      <c r="BB2180" t="str">
        <f t="shared" si="107"/>
        <v xml:space="preserve">N162AM  </v>
      </c>
      <c r="BC2180">
        <v>1</v>
      </c>
      <c r="BE2180">
        <v>0</v>
      </c>
      <c r="BF2180">
        <v>0</v>
      </c>
      <c r="BG2180">
        <v>0</v>
      </c>
      <c r="BH2180">
        <v>1350</v>
      </c>
      <c r="BI2180">
        <v>1</v>
      </c>
      <c r="BJ2180">
        <v>1</v>
      </c>
      <c r="BK2180">
        <v>1</v>
      </c>
      <c r="BL2180">
        <v>0</v>
      </c>
      <c r="BO2180">
        <v>0</v>
      </c>
      <c r="BP2180">
        <v>0</v>
      </c>
      <c r="BW2180" t="str">
        <f>"14:53:59.885"</f>
        <v>14:53:59.885</v>
      </c>
      <c r="CJ2180">
        <v>3</v>
      </c>
      <c r="CK2180">
        <v>2</v>
      </c>
      <c r="CL2180">
        <v>0</v>
      </c>
      <c r="CM2180">
        <v>2</v>
      </c>
      <c r="CN2180">
        <v>0</v>
      </c>
      <c r="CO2180">
        <v>5</v>
      </c>
      <c r="CP2180" t="s">
        <v>119</v>
      </c>
      <c r="CQ2180">
        <v>232</v>
      </c>
      <c r="CR2180">
        <v>2</v>
      </c>
      <c r="CW2180">
        <v>7075238</v>
      </c>
      <c r="CY2180">
        <v>1</v>
      </c>
      <c r="CZ2180">
        <v>0</v>
      </c>
      <c r="DA2180">
        <v>1</v>
      </c>
      <c r="DB2180">
        <v>0</v>
      </c>
      <c r="DC2180">
        <v>0</v>
      </c>
      <c r="DD2180">
        <v>1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3">
      <c r="A2181" t="str">
        <f>"12/16/2021 14:54:00.149"</f>
        <v>12/16/2021 14:54:00.149</v>
      </c>
      <c r="C2181" t="str">
        <f t="shared" si="106"/>
        <v>FFDFD3C0</v>
      </c>
      <c r="D2181" t="s">
        <v>124</v>
      </c>
      <c r="E2181">
        <v>5</v>
      </c>
      <c r="F2181">
        <v>1005</v>
      </c>
      <c r="G2181" t="s">
        <v>114</v>
      </c>
      <c r="J2181" t="s">
        <v>125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>"14:53:59.883"</f>
        <v>14:53:59.883</v>
      </c>
      <c r="T2181" t="str">
        <f>"14:53:58.983"</f>
        <v>14:53:58.983</v>
      </c>
      <c r="U2181" t="str">
        <f t="shared" si="108"/>
        <v>A0F928</v>
      </c>
      <c r="V2181">
        <v>0</v>
      </c>
      <c r="W2181">
        <v>0</v>
      </c>
      <c r="X2181">
        <v>2</v>
      </c>
      <c r="Z2181">
        <v>0</v>
      </c>
      <c r="AA2181">
        <v>9</v>
      </c>
      <c r="AB2181">
        <v>3</v>
      </c>
      <c r="AC2181">
        <v>0</v>
      </c>
      <c r="AD2181">
        <v>10</v>
      </c>
      <c r="AE2181">
        <v>0</v>
      </c>
      <c r="AF2181">
        <v>3</v>
      </c>
      <c r="AG2181">
        <v>2</v>
      </c>
      <c r="AH2181">
        <v>1</v>
      </c>
      <c r="AI2181" t="s">
        <v>989</v>
      </c>
      <c r="AJ2181">
        <v>35.846071000000002</v>
      </c>
      <c r="AK2181" t="s">
        <v>1135</v>
      </c>
      <c r="AL2181">
        <v>-83.955652999999998</v>
      </c>
      <c r="AM2181">
        <v>25</v>
      </c>
      <c r="AN2181">
        <v>1100</v>
      </c>
      <c r="AO2181" t="s">
        <v>118</v>
      </c>
      <c r="AP2181">
        <v>54</v>
      </c>
      <c r="AQ2181">
        <v>-76</v>
      </c>
      <c r="AR2181">
        <v>-64</v>
      </c>
      <c r="AZ2181">
        <v>300</v>
      </c>
      <c r="BA2181">
        <v>1</v>
      </c>
      <c r="BB2181" t="str">
        <f t="shared" si="107"/>
        <v xml:space="preserve">N162AM  </v>
      </c>
      <c r="BC2181">
        <v>1</v>
      </c>
      <c r="BE2181">
        <v>0</v>
      </c>
      <c r="BF2181">
        <v>0</v>
      </c>
      <c r="BG2181">
        <v>0</v>
      </c>
      <c r="BH2181">
        <v>1350</v>
      </c>
      <c r="BI2181">
        <v>1</v>
      </c>
      <c r="BJ2181">
        <v>1</v>
      </c>
      <c r="BK2181">
        <v>1</v>
      </c>
      <c r="BL2181">
        <v>0</v>
      </c>
      <c r="BO2181">
        <v>0</v>
      </c>
      <c r="BP2181">
        <v>0</v>
      </c>
      <c r="BW2181" t="str">
        <f>"14:53:59.885"</f>
        <v>14:53:59.885</v>
      </c>
      <c r="CJ2181">
        <v>3</v>
      </c>
      <c r="CK2181">
        <v>2</v>
      </c>
      <c r="CL2181">
        <v>0</v>
      </c>
      <c r="CM2181">
        <v>2</v>
      </c>
      <c r="CN2181">
        <v>0</v>
      </c>
      <c r="CO2181">
        <v>5</v>
      </c>
      <c r="CP2181" t="s">
        <v>119</v>
      </c>
      <c r="CQ2181">
        <v>232</v>
      </c>
      <c r="CR2181">
        <v>2</v>
      </c>
      <c r="CW2181">
        <v>7075238</v>
      </c>
      <c r="CY2181">
        <v>1</v>
      </c>
      <c r="CZ2181">
        <v>0</v>
      </c>
      <c r="DA2181">
        <v>1</v>
      </c>
      <c r="DB2181">
        <v>0</v>
      </c>
      <c r="DC2181">
        <v>0</v>
      </c>
      <c r="DD2181">
        <v>1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3">
      <c r="A2182" t="str">
        <f>"12/16/2021 14:54:01.133"</f>
        <v>12/16/2021 14:54:01.133</v>
      </c>
      <c r="C2182" t="str">
        <f t="shared" si="106"/>
        <v>FFDFD3C0</v>
      </c>
      <c r="D2182" t="s">
        <v>113</v>
      </c>
      <c r="E2182">
        <v>8</v>
      </c>
      <c r="H2182">
        <v>176</v>
      </c>
      <c r="I2182" t="s">
        <v>114</v>
      </c>
      <c r="J2182" t="s">
        <v>115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>"14:54:00.875"</f>
        <v>14:54:00.875</v>
      </c>
      <c r="T2182" t="str">
        <f>"14:54:00.375"</f>
        <v>14:54:00.375</v>
      </c>
      <c r="U2182" t="str">
        <f t="shared" si="108"/>
        <v>A0F928</v>
      </c>
      <c r="V2182">
        <v>0</v>
      </c>
      <c r="W2182">
        <v>0</v>
      </c>
      <c r="X2182">
        <v>2</v>
      </c>
      <c r="Z2182">
        <v>0</v>
      </c>
      <c r="AA2182">
        <v>9</v>
      </c>
      <c r="AB2182">
        <v>3</v>
      </c>
      <c r="AC2182">
        <v>0</v>
      </c>
      <c r="AD2182">
        <v>10</v>
      </c>
      <c r="AE2182">
        <v>0</v>
      </c>
      <c r="AF2182">
        <v>3</v>
      </c>
      <c r="AG2182">
        <v>2</v>
      </c>
      <c r="AH2182">
        <v>1</v>
      </c>
      <c r="AI2182" t="s">
        <v>987</v>
      </c>
      <c r="AJ2182">
        <v>35.845685000000003</v>
      </c>
      <c r="AK2182" t="s">
        <v>1136</v>
      </c>
      <c r="AL2182">
        <v>-83.955309</v>
      </c>
      <c r="AM2182">
        <v>25</v>
      </c>
      <c r="AN2182">
        <v>1100</v>
      </c>
      <c r="AO2182" t="s">
        <v>118</v>
      </c>
      <c r="AP2182">
        <v>54</v>
      </c>
      <c r="AQ2182">
        <v>-75</v>
      </c>
      <c r="AR2182">
        <v>-128</v>
      </c>
      <c r="AZ2182">
        <v>300</v>
      </c>
      <c r="BA2182">
        <v>1</v>
      </c>
      <c r="BB2182" t="str">
        <f t="shared" si="107"/>
        <v xml:space="preserve">N162AM  </v>
      </c>
      <c r="BC2182">
        <v>1</v>
      </c>
      <c r="BE2182">
        <v>0</v>
      </c>
      <c r="BF2182">
        <v>0</v>
      </c>
      <c r="BG2182">
        <v>0</v>
      </c>
      <c r="BH2182">
        <v>1350</v>
      </c>
      <c r="BI2182">
        <v>1</v>
      </c>
      <c r="BJ2182">
        <v>1</v>
      </c>
      <c r="BK2182">
        <v>1</v>
      </c>
      <c r="BL2182">
        <v>0</v>
      </c>
      <c r="BO2182">
        <v>0</v>
      </c>
      <c r="BP2182">
        <v>0</v>
      </c>
      <c r="BW2182" t="str">
        <f>"14:54:00.876"</f>
        <v>14:54:00.876</v>
      </c>
      <c r="CJ2182">
        <v>3</v>
      </c>
      <c r="CK2182">
        <v>2</v>
      </c>
      <c r="CL2182">
        <v>0</v>
      </c>
      <c r="CM2182">
        <v>2</v>
      </c>
      <c r="CN2182">
        <v>0</v>
      </c>
      <c r="CO2182">
        <v>6</v>
      </c>
      <c r="CP2182" t="s">
        <v>119</v>
      </c>
      <c r="CQ2182">
        <v>232</v>
      </c>
      <c r="CR2182">
        <v>1</v>
      </c>
      <c r="CW2182">
        <v>15856405</v>
      </c>
      <c r="CY2182">
        <v>1</v>
      </c>
      <c r="CZ2182">
        <v>0</v>
      </c>
      <c r="DA2182">
        <v>0</v>
      </c>
      <c r="DB2182">
        <v>0</v>
      </c>
      <c r="DC2182">
        <v>0</v>
      </c>
      <c r="DD2182">
        <v>1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3">
      <c r="A2183" t="str">
        <f>"12/16/2021 14:54:01.133"</f>
        <v>12/16/2021 14:54:01.133</v>
      </c>
      <c r="C2183" t="str">
        <f t="shared" si="106"/>
        <v>FFDFD3C0</v>
      </c>
      <c r="D2183" t="s">
        <v>124</v>
      </c>
      <c r="E2183">
        <v>10</v>
      </c>
      <c r="F2183">
        <v>1010</v>
      </c>
      <c r="G2183" t="s">
        <v>130</v>
      </c>
      <c r="J2183" t="s">
        <v>125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>"14:54:00.875"</f>
        <v>14:54:00.875</v>
      </c>
      <c r="T2183" t="str">
        <f>"14:54:00.375"</f>
        <v>14:54:00.375</v>
      </c>
      <c r="U2183" t="str">
        <f t="shared" si="108"/>
        <v>A0F928</v>
      </c>
      <c r="V2183">
        <v>0</v>
      </c>
      <c r="W2183">
        <v>0</v>
      </c>
      <c r="X2183">
        <v>2</v>
      </c>
      <c r="Z2183">
        <v>0</v>
      </c>
      <c r="AA2183">
        <v>9</v>
      </c>
      <c r="AB2183">
        <v>3</v>
      </c>
      <c r="AC2183">
        <v>0</v>
      </c>
      <c r="AD2183">
        <v>10</v>
      </c>
      <c r="AE2183">
        <v>0</v>
      </c>
      <c r="AF2183">
        <v>0</v>
      </c>
      <c r="AG2183">
        <v>2</v>
      </c>
      <c r="AH2183">
        <v>1</v>
      </c>
      <c r="AI2183" t="s">
        <v>987</v>
      </c>
      <c r="AJ2183">
        <v>35.845685000000003</v>
      </c>
      <c r="AK2183" t="s">
        <v>1136</v>
      </c>
      <c r="AL2183">
        <v>-83.955309</v>
      </c>
      <c r="AM2183">
        <v>25</v>
      </c>
      <c r="AN2183">
        <v>1100</v>
      </c>
      <c r="AO2183" t="s">
        <v>118</v>
      </c>
      <c r="AP2183">
        <v>54</v>
      </c>
      <c r="AQ2183">
        <v>-75</v>
      </c>
      <c r="AR2183">
        <v>-128</v>
      </c>
      <c r="AZ2183">
        <v>300</v>
      </c>
      <c r="BA2183">
        <v>1</v>
      </c>
      <c r="BB2183" t="str">
        <f t="shared" si="107"/>
        <v xml:space="preserve">N162AM  </v>
      </c>
      <c r="BC2183">
        <v>1</v>
      </c>
      <c r="BE2183">
        <v>0</v>
      </c>
      <c r="BF2183">
        <v>0</v>
      </c>
      <c r="BG2183">
        <v>0</v>
      </c>
      <c r="BH2183">
        <v>1350</v>
      </c>
      <c r="BI2183">
        <v>1</v>
      </c>
      <c r="BJ2183">
        <v>1</v>
      </c>
      <c r="BK2183">
        <v>1</v>
      </c>
      <c r="BL2183">
        <v>0</v>
      </c>
      <c r="BO2183">
        <v>0</v>
      </c>
      <c r="BP2183">
        <v>0</v>
      </c>
      <c r="BW2183" t="str">
        <f>"14:54:00.876"</f>
        <v>14:54:00.876</v>
      </c>
      <c r="CJ2183">
        <v>2</v>
      </c>
      <c r="CK2183">
        <v>2</v>
      </c>
      <c r="CL2183">
        <v>0</v>
      </c>
      <c r="CM2183">
        <v>2</v>
      </c>
      <c r="CN2183">
        <v>0</v>
      </c>
      <c r="CO2183">
        <v>6</v>
      </c>
      <c r="CP2183" t="s">
        <v>119</v>
      </c>
      <c r="CQ2183">
        <v>232</v>
      </c>
      <c r="CR2183">
        <v>1</v>
      </c>
      <c r="CW2183">
        <v>15856405</v>
      </c>
      <c r="CY2183">
        <v>1</v>
      </c>
      <c r="CZ2183">
        <v>0</v>
      </c>
      <c r="DA2183">
        <v>1</v>
      </c>
      <c r="DB2183">
        <v>0</v>
      </c>
      <c r="DC2183">
        <v>0</v>
      </c>
      <c r="DD2183">
        <v>1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3">
      <c r="A2184" t="str">
        <f>"12/16/2021 14:54:01.133"</f>
        <v>12/16/2021 14:54:01.133</v>
      </c>
      <c r="C2184" t="str">
        <f t="shared" si="106"/>
        <v>FFDFD3C0</v>
      </c>
      <c r="D2184" t="s">
        <v>133</v>
      </c>
      <c r="E2184">
        <v>44</v>
      </c>
      <c r="H2184">
        <v>131</v>
      </c>
      <c r="I2184" t="s">
        <v>134</v>
      </c>
      <c r="J2184" t="s">
        <v>135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>"14:54:00.875"</f>
        <v>14:54:00.875</v>
      </c>
      <c r="T2184" t="str">
        <f>"14:54:00.375"</f>
        <v>14:54:00.375</v>
      </c>
      <c r="U2184" t="str">
        <f t="shared" si="108"/>
        <v>A0F928</v>
      </c>
      <c r="V2184">
        <v>0</v>
      </c>
      <c r="W2184">
        <v>0</v>
      </c>
      <c r="X2184">
        <v>2</v>
      </c>
      <c r="Z2184">
        <v>0</v>
      </c>
      <c r="AA2184">
        <v>9</v>
      </c>
      <c r="AB2184">
        <v>3</v>
      </c>
      <c r="AC2184">
        <v>0</v>
      </c>
      <c r="AD2184">
        <v>10</v>
      </c>
      <c r="AE2184">
        <v>0</v>
      </c>
      <c r="AF2184">
        <v>3</v>
      </c>
      <c r="AG2184">
        <v>2</v>
      </c>
      <c r="AH2184">
        <v>1</v>
      </c>
      <c r="AI2184" t="s">
        <v>987</v>
      </c>
      <c r="AJ2184">
        <v>35.845685000000003</v>
      </c>
      <c r="AK2184" t="s">
        <v>1136</v>
      </c>
      <c r="AL2184">
        <v>-83.955309</v>
      </c>
      <c r="AM2184">
        <v>25</v>
      </c>
      <c r="AN2184">
        <v>1100</v>
      </c>
      <c r="AO2184" t="s">
        <v>118</v>
      </c>
      <c r="AP2184">
        <v>54</v>
      </c>
      <c r="AQ2184">
        <v>-75</v>
      </c>
      <c r="AR2184">
        <v>-128</v>
      </c>
      <c r="AZ2184">
        <v>300</v>
      </c>
      <c r="BA2184">
        <v>1</v>
      </c>
      <c r="BB2184" t="str">
        <f t="shared" si="107"/>
        <v xml:space="preserve">N162AM  </v>
      </c>
      <c r="BC2184">
        <v>1</v>
      </c>
      <c r="BE2184">
        <v>0</v>
      </c>
      <c r="BF2184">
        <v>0</v>
      </c>
      <c r="BG2184">
        <v>0</v>
      </c>
      <c r="BH2184">
        <v>1350</v>
      </c>
      <c r="BI2184">
        <v>1</v>
      </c>
      <c r="BJ2184">
        <v>1</v>
      </c>
      <c r="BK2184">
        <v>1</v>
      </c>
      <c r="BL2184">
        <v>0</v>
      </c>
      <c r="BO2184">
        <v>0</v>
      </c>
      <c r="BP2184">
        <v>0</v>
      </c>
      <c r="BW2184" t="str">
        <f>"14:54:00.876"</f>
        <v>14:54:00.876</v>
      </c>
      <c r="CJ2184">
        <v>3</v>
      </c>
      <c r="CK2184">
        <v>2</v>
      </c>
      <c r="CL2184">
        <v>0</v>
      </c>
      <c r="CM2184">
        <v>2</v>
      </c>
      <c r="CN2184">
        <v>0</v>
      </c>
      <c r="CO2184">
        <v>6</v>
      </c>
      <c r="CP2184" t="s">
        <v>119</v>
      </c>
      <c r="CQ2184">
        <v>232</v>
      </c>
      <c r="CR2184">
        <v>1</v>
      </c>
      <c r="CW2184">
        <v>15856405</v>
      </c>
      <c r="CY2184">
        <v>1</v>
      </c>
      <c r="CZ2184">
        <v>0</v>
      </c>
      <c r="DA2184">
        <v>1</v>
      </c>
      <c r="DB2184">
        <v>0</v>
      </c>
      <c r="DC2184">
        <v>0</v>
      </c>
      <c r="DD2184">
        <v>1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3">
      <c r="A2185" t="str">
        <f>"12/16/2021 14:54:01.118"</f>
        <v>12/16/2021 14:54:01.118</v>
      </c>
      <c r="C2185" t="str">
        <f t="shared" si="106"/>
        <v>FFDFD3C0</v>
      </c>
      <c r="D2185" t="s">
        <v>124</v>
      </c>
      <c r="E2185">
        <v>5</v>
      </c>
      <c r="F2185">
        <v>1005</v>
      </c>
      <c r="G2185" t="s">
        <v>114</v>
      </c>
      <c r="J2185" t="s">
        <v>125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>"14:54:00.875"</f>
        <v>14:54:00.875</v>
      </c>
      <c r="T2185" t="str">
        <f>"14:54:00.375"</f>
        <v>14:54:00.375</v>
      </c>
      <c r="U2185" t="str">
        <f t="shared" si="108"/>
        <v>A0F928</v>
      </c>
      <c r="V2185">
        <v>0</v>
      </c>
      <c r="W2185">
        <v>0</v>
      </c>
      <c r="X2185">
        <v>2</v>
      </c>
      <c r="Z2185">
        <v>0</v>
      </c>
      <c r="AA2185">
        <v>9</v>
      </c>
      <c r="AB2185">
        <v>3</v>
      </c>
      <c r="AC2185">
        <v>0</v>
      </c>
      <c r="AD2185">
        <v>10</v>
      </c>
      <c r="AE2185">
        <v>0</v>
      </c>
      <c r="AF2185">
        <v>3</v>
      </c>
      <c r="AG2185">
        <v>2</v>
      </c>
      <c r="AH2185">
        <v>1</v>
      </c>
      <c r="AI2185" t="s">
        <v>987</v>
      </c>
      <c r="AJ2185">
        <v>35.845685000000003</v>
      </c>
      <c r="AK2185" t="s">
        <v>1136</v>
      </c>
      <c r="AL2185">
        <v>-83.955309</v>
      </c>
      <c r="AM2185">
        <v>25</v>
      </c>
      <c r="AN2185">
        <v>1100</v>
      </c>
      <c r="AO2185" t="s">
        <v>118</v>
      </c>
      <c r="AP2185">
        <v>54</v>
      </c>
      <c r="AQ2185">
        <v>-75</v>
      </c>
      <c r="AR2185">
        <v>-128</v>
      </c>
      <c r="AZ2185">
        <v>300</v>
      </c>
      <c r="BA2185">
        <v>1</v>
      </c>
      <c r="BB2185" t="str">
        <f t="shared" si="107"/>
        <v xml:space="preserve">N162AM  </v>
      </c>
      <c r="BC2185">
        <v>1</v>
      </c>
      <c r="BE2185">
        <v>0</v>
      </c>
      <c r="BF2185">
        <v>0</v>
      </c>
      <c r="BG2185">
        <v>0</v>
      </c>
      <c r="BH2185">
        <v>1350</v>
      </c>
      <c r="BI2185">
        <v>1</v>
      </c>
      <c r="BJ2185">
        <v>1</v>
      </c>
      <c r="BK2185">
        <v>1</v>
      </c>
      <c r="BL2185">
        <v>0</v>
      </c>
      <c r="BO2185">
        <v>0</v>
      </c>
      <c r="BP2185">
        <v>0</v>
      </c>
      <c r="BW2185" t="str">
        <f>"14:54:00.876"</f>
        <v>14:54:00.876</v>
      </c>
      <c r="CJ2185">
        <v>3</v>
      </c>
      <c r="CK2185">
        <v>2</v>
      </c>
      <c r="CL2185">
        <v>0</v>
      </c>
      <c r="CM2185">
        <v>2</v>
      </c>
      <c r="CN2185">
        <v>0</v>
      </c>
      <c r="CO2185">
        <v>6</v>
      </c>
      <c r="CP2185" t="s">
        <v>119</v>
      </c>
      <c r="CQ2185">
        <v>232</v>
      </c>
      <c r="CR2185">
        <v>1</v>
      </c>
      <c r="CW2185">
        <v>15856405</v>
      </c>
      <c r="CY2185">
        <v>1</v>
      </c>
      <c r="CZ2185">
        <v>0</v>
      </c>
      <c r="DA2185">
        <v>1</v>
      </c>
      <c r="DB2185">
        <v>0</v>
      </c>
      <c r="DC2185">
        <v>0</v>
      </c>
      <c r="DD2185">
        <v>1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3">
      <c r="A2186" t="str">
        <f>"12/16/2021 14:54:02.149"</f>
        <v>12/16/2021 14:54:02.149</v>
      </c>
      <c r="C2186" t="str">
        <f t="shared" si="106"/>
        <v>FFDFD3C0</v>
      </c>
      <c r="D2186" t="s">
        <v>133</v>
      </c>
      <c r="E2186">
        <v>44</v>
      </c>
      <c r="H2186">
        <v>131</v>
      </c>
      <c r="I2186" t="s">
        <v>134</v>
      </c>
      <c r="J2186" t="s">
        <v>135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>"14:54:01.945"</f>
        <v>14:54:01.945</v>
      </c>
      <c r="T2186" t="str">
        <f>"14:54:01.445"</f>
        <v>14:54:01.445</v>
      </c>
      <c r="U2186" t="str">
        <f t="shared" si="108"/>
        <v>A0F928</v>
      </c>
      <c r="V2186">
        <v>0</v>
      </c>
      <c r="W2186">
        <v>0</v>
      </c>
      <c r="X2186">
        <v>2</v>
      </c>
      <c r="Z2186">
        <v>0</v>
      </c>
      <c r="AA2186">
        <v>9</v>
      </c>
      <c r="AB2186">
        <v>3</v>
      </c>
      <c r="AC2186">
        <v>0</v>
      </c>
      <c r="AD2186">
        <v>10</v>
      </c>
      <c r="AE2186">
        <v>0</v>
      </c>
      <c r="AF2186">
        <v>3</v>
      </c>
      <c r="AG2186">
        <v>2</v>
      </c>
      <c r="AH2186">
        <v>1</v>
      </c>
      <c r="AI2186" t="s">
        <v>1137</v>
      </c>
      <c r="AJ2186">
        <v>35.845362999999999</v>
      </c>
      <c r="AK2186" t="s">
        <v>1138</v>
      </c>
      <c r="AL2186">
        <v>-83.955009000000004</v>
      </c>
      <c r="AM2186">
        <v>25</v>
      </c>
      <c r="AN2186">
        <v>1100</v>
      </c>
      <c r="AO2186" t="s">
        <v>118</v>
      </c>
      <c r="AP2186">
        <v>53</v>
      </c>
      <c r="AQ2186">
        <v>-75</v>
      </c>
      <c r="AR2186">
        <v>-64</v>
      </c>
      <c r="AZ2186">
        <v>300</v>
      </c>
      <c r="BA2186">
        <v>1</v>
      </c>
      <c r="BB2186" t="str">
        <f t="shared" si="107"/>
        <v xml:space="preserve">N162AM  </v>
      </c>
      <c r="BC2186">
        <v>1</v>
      </c>
      <c r="BE2186">
        <v>0</v>
      </c>
      <c r="BF2186">
        <v>0</v>
      </c>
      <c r="BG2186">
        <v>0</v>
      </c>
      <c r="BH2186">
        <v>1350</v>
      </c>
      <c r="BI2186">
        <v>1</v>
      </c>
      <c r="BJ2186">
        <v>1</v>
      </c>
      <c r="BK2186">
        <v>1</v>
      </c>
      <c r="BL2186">
        <v>0</v>
      </c>
      <c r="BO2186">
        <v>0</v>
      </c>
      <c r="BP2186">
        <v>0</v>
      </c>
      <c r="BW2186" t="str">
        <f>"14:54:01.949"</f>
        <v>14:54:01.949</v>
      </c>
      <c r="CJ2186">
        <v>3</v>
      </c>
      <c r="CK2186">
        <v>2</v>
      </c>
      <c r="CL2186">
        <v>0</v>
      </c>
      <c r="CM2186">
        <v>2</v>
      </c>
      <c r="CN2186">
        <v>0</v>
      </c>
      <c r="CO2186">
        <v>6</v>
      </c>
      <c r="CP2186" t="s">
        <v>119</v>
      </c>
      <c r="CQ2186">
        <v>232</v>
      </c>
      <c r="CR2186">
        <v>2</v>
      </c>
      <c r="CW2186">
        <v>7078779</v>
      </c>
      <c r="CY2186">
        <v>1</v>
      </c>
      <c r="CZ2186">
        <v>0</v>
      </c>
      <c r="DA2186">
        <v>0</v>
      </c>
      <c r="DB2186">
        <v>0</v>
      </c>
      <c r="DC2186">
        <v>0</v>
      </c>
      <c r="DD2186">
        <v>1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3">
      <c r="A2187" t="str">
        <f>"12/16/2021 14:54:02.149"</f>
        <v>12/16/2021 14:54:02.149</v>
      </c>
      <c r="C2187" t="str">
        <f t="shared" si="106"/>
        <v>FFDFD3C0</v>
      </c>
      <c r="D2187" t="s">
        <v>124</v>
      </c>
      <c r="E2187">
        <v>5</v>
      </c>
      <c r="F2187">
        <v>1005</v>
      </c>
      <c r="G2187" t="s">
        <v>114</v>
      </c>
      <c r="J2187" t="s">
        <v>125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>"14:54:01.945"</f>
        <v>14:54:01.945</v>
      </c>
      <c r="T2187" t="str">
        <f>"14:54:01.445"</f>
        <v>14:54:01.445</v>
      </c>
      <c r="U2187" t="str">
        <f t="shared" si="108"/>
        <v>A0F928</v>
      </c>
      <c r="V2187">
        <v>0</v>
      </c>
      <c r="W2187">
        <v>0</v>
      </c>
      <c r="X2187">
        <v>2</v>
      </c>
      <c r="Z2187">
        <v>0</v>
      </c>
      <c r="AA2187">
        <v>9</v>
      </c>
      <c r="AB2187">
        <v>3</v>
      </c>
      <c r="AC2187">
        <v>0</v>
      </c>
      <c r="AD2187">
        <v>10</v>
      </c>
      <c r="AE2187">
        <v>0</v>
      </c>
      <c r="AF2187">
        <v>3</v>
      </c>
      <c r="AG2187">
        <v>2</v>
      </c>
      <c r="AH2187">
        <v>1</v>
      </c>
      <c r="AI2187" t="s">
        <v>1137</v>
      </c>
      <c r="AJ2187">
        <v>35.845362999999999</v>
      </c>
      <c r="AK2187" t="s">
        <v>1138</v>
      </c>
      <c r="AL2187">
        <v>-83.955009000000004</v>
      </c>
      <c r="AM2187">
        <v>25</v>
      </c>
      <c r="AN2187">
        <v>1100</v>
      </c>
      <c r="AO2187" t="s">
        <v>118</v>
      </c>
      <c r="AP2187">
        <v>53</v>
      </c>
      <c r="AQ2187">
        <v>-75</v>
      </c>
      <c r="AR2187">
        <v>-64</v>
      </c>
      <c r="AZ2187">
        <v>300</v>
      </c>
      <c r="BA2187">
        <v>1</v>
      </c>
      <c r="BB2187" t="str">
        <f t="shared" si="107"/>
        <v xml:space="preserve">N162AM  </v>
      </c>
      <c r="BC2187">
        <v>1</v>
      </c>
      <c r="BE2187">
        <v>0</v>
      </c>
      <c r="BF2187">
        <v>0</v>
      </c>
      <c r="BG2187">
        <v>0</v>
      </c>
      <c r="BH2187">
        <v>1350</v>
      </c>
      <c r="BI2187">
        <v>1</v>
      </c>
      <c r="BJ2187">
        <v>1</v>
      </c>
      <c r="BK2187">
        <v>1</v>
      </c>
      <c r="BL2187">
        <v>0</v>
      </c>
      <c r="BO2187">
        <v>0</v>
      </c>
      <c r="BP2187">
        <v>0</v>
      </c>
      <c r="BW2187" t="str">
        <f>"14:54:01.949"</f>
        <v>14:54:01.949</v>
      </c>
      <c r="CJ2187">
        <v>3</v>
      </c>
      <c r="CK2187">
        <v>2</v>
      </c>
      <c r="CL2187">
        <v>0</v>
      </c>
      <c r="CM2187">
        <v>2</v>
      </c>
      <c r="CN2187">
        <v>0</v>
      </c>
      <c r="CO2187">
        <v>6</v>
      </c>
      <c r="CP2187" t="s">
        <v>119</v>
      </c>
      <c r="CQ2187">
        <v>232</v>
      </c>
      <c r="CR2187">
        <v>2</v>
      </c>
      <c r="CW2187">
        <v>7078779</v>
      </c>
      <c r="CY2187">
        <v>1</v>
      </c>
      <c r="CZ2187">
        <v>0</v>
      </c>
      <c r="DA2187">
        <v>1</v>
      </c>
      <c r="DB2187">
        <v>0</v>
      </c>
      <c r="DC2187">
        <v>0</v>
      </c>
      <c r="DD2187">
        <v>1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3">
      <c r="A2188" t="str">
        <f>"12/16/2021 14:54:02.165"</f>
        <v>12/16/2021 14:54:02.165</v>
      </c>
      <c r="C2188" t="str">
        <f t="shared" si="106"/>
        <v>FFDFD3C0</v>
      </c>
      <c r="D2188" t="s">
        <v>124</v>
      </c>
      <c r="E2188">
        <v>10</v>
      </c>
      <c r="F2188">
        <v>1010</v>
      </c>
      <c r="G2188" t="s">
        <v>130</v>
      </c>
      <c r="J2188" t="s">
        <v>125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>"14:54:01.945"</f>
        <v>14:54:01.945</v>
      </c>
      <c r="T2188" t="str">
        <f>"14:54:01.445"</f>
        <v>14:54:01.445</v>
      </c>
      <c r="U2188" t="str">
        <f t="shared" si="108"/>
        <v>A0F928</v>
      </c>
      <c r="V2188">
        <v>0</v>
      </c>
      <c r="W2188">
        <v>0</v>
      </c>
      <c r="X2188">
        <v>2</v>
      </c>
      <c r="Z2188">
        <v>0</v>
      </c>
      <c r="AA2188">
        <v>9</v>
      </c>
      <c r="AB2188">
        <v>3</v>
      </c>
      <c r="AC2188">
        <v>0</v>
      </c>
      <c r="AD2188">
        <v>10</v>
      </c>
      <c r="AE2188">
        <v>0</v>
      </c>
      <c r="AF2188">
        <v>0</v>
      </c>
      <c r="AG2188">
        <v>2</v>
      </c>
      <c r="AH2188">
        <v>1</v>
      </c>
      <c r="AI2188" t="s">
        <v>1137</v>
      </c>
      <c r="AJ2188">
        <v>35.845362999999999</v>
      </c>
      <c r="AK2188" t="s">
        <v>1138</v>
      </c>
      <c r="AL2188">
        <v>-83.955009000000004</v>
      </c>
      <c r="AM2188">
        <v>25</v>
      </c>
      <c r="AN2188">
        <v>1100</v>
      </c>
      <c r="AO2188" t="s">
        <v>118</v>
      </c>
      <c r="AP2188">
        <v>53</v>
      </c>
      <c r="AQ2188">
        <v>-75</v>
      </c>
      <c r="AR2188">
        <v>-64</v>
      </c>
      <c r="AZ2188">
        <v>300</v>
      </c>
      <c r="BA2188">
        <v>1</v>
      </c>
      <c r="BB2188" t="str">
        <f t="shared" si="107"/>
        <v xml:space="preserve">N162AM  </v>
      </c>
      <c r="BC2188">
        <v>1</v>
      </c>
      <c r="BE2188">
        <v>0</v>
      </c>
      <c r="BF2188">
        <v>0</v>
      </c>
      <c r="BG2188">
        <v>0</v>
      </c>
      <c r="BH2188">
        <v>1350</v>
      </c>
      <c r="BI2188">
        <v>1</v>
      </c>
      <c r="BJ2188">
        <v>1</v>
      </c>
      <c r="BK2188">
        <v>1</v>
      </c>
      <c r="BL2188">
        <v>0</v>
      </c>
      <c r="BO2188">
        <v>0</v>
      </c>
      <c r="BP2188">
        <v>0</v>
      </c>
      <c r="BW2188" t="str">
        <f>"14:54:01.949"</f>
        <v>14:54:01.949</v>
      </c>
      <c r="CJ2188">
        <v>2</v>
      </c>
      <c r="CK2188">
        <v>2</v>
      </c>
      <c r="CL2188">
        <v>0</v>
      </c>
      <c r="CM2188">
        <v>2</v>
      </c>
      <c r="CN2188">
        <v>0</v>
      </c>
      <c r="CO2188">
        <v>6</v>
      </c>
      <c r="CP2188" t="s">
        <v>119</v>
      </c>
      <c r="CQ2188">
        <v>232</v>
      </c>
      <c r="CR2188">
        <v>2</v>
      </c>
      <c r="CW2188">
        <v>7078779</v>
      </c>
      <c r="CY2188">
        <v>1</v>
      </c>
      <c r="CZ2188">
        <v>0</v>
      </c>
      <c r="DA2188">
        <v>1</v>
      </c>
      <c r="DB2188">
        <v>0</v>
      </c>
      <c r="DC2188">
        <v>0</v>
      </c>
      <c r="DD2188">
        <v>1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3">
      <c r="A2189" t="str">
        <f>"12/16/2021 14:54:02.165"</f>
        <v>12/16/2021 14:54:02.165</v>
      </c>
      <c r="C2189" t="str">
        <f t="shared" si="106"/>
        <v>FFDFD3C0</v>
      </c>
      <c r="D2189" t="s">
        <v>113</v>
      </c>
      <c r="E2189">
        <v>8</v>
      </c>
      <c r="H2189">
        <v>176</v>
      </c>
      <c r="I2189" t="s">
        <v>114</v>
      </c>
      <c r="J2189" t="s">
        <v>115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>"14:54:01.945"</f>
        <v>14:54:01.945</v>
      </c>
      <c r="T2189" t="str">
        <f>"14:54:01.445"</f>
        <v>14:54:01.445</v>
      </c>
      <c r="U2189" t="str">
        <f t="shared" si="108"/>
        <v>A0F928</v>
      </c>
      <c r="V2189">
        <v>0</v>
      </c>
      <c r="W2189">
        <v>0</v>
      </c>
      <c r="X2189">
        <v>2</v>
      </c>
      <c r="Z2189">
        <v>0</v>
      </c>
      <c r="AA2189">
        <v>9</v>
      </c>
      <c r="AB2189">
        <v>3</v>
      </c>
      <c r="AC2189">
        <v>0</v>
      </c>
      <c r="AD2189">
        <v>10</v>
      </c>
      <c r="AE2189">
        <v>0</v>
      </c>
      <c r="AF2189">
        <v>3</v>
      </c>
      <c r="AG2189">
        <v>2</v>
      </c>
      <c r="AH2189">
        <v>1</v>
      </c>
      <c r="AI2189" t="s">
        <v>1137</v>
      </c>
      <c r="AJ2189">
        <v>35.845362999999999</v>
      </c>
      <c r="AK2189" t="s">
        <v>1138</v>
      </c>
      <c r="AL2189">
        <v>-83.955009000000004</v>
      </c>
      <c r="AM2189">
        <v>25</v>
      </c>
      <c r="AN2189">
        <v>1100</v>
      </c>
      <c r="AO2189" t="s">
        <v>118</v>
      </c>
      <c r="AP2189">
        <v>53</v>
      </c>
      <c r="AQ2189">
        <v>-75</v>
      </c>
      <c r="AR2189">
        <v>-64</v>
      </c>
      <c r="AZ2189">
        <v>300</v>
      </c>
      <c r="BA2189">
        <v>1</v>
      </c>
      <c r="BB2189" t="str">
        <f t="shared" si="107"/>
        <v xml:space="preserve">N162AM  </v>
      </c>
      <c r="BC2189">
        <v>1</v>
      </c>
      <c r="BE2189">
        <v>0</v>
      </c>
      <c r="BF2189">
        <v>0</v>
      </c>
      <c r="BG2189">
        <v>0</v>
      </c>
      <c r="BH2189">
        <v>1350</v>
      </c>
      <c r="BI2189">
        <v>1</v>
      </c>
      <c r="BJ2189">
        <v>1</v>
      </c>
      <c r="BK2189">
        <v>1</v>
      </c>
      <c r="BL2189">
        <v>0</v>
      </c>
      <c r="BO2189">
        <v>0</v>
      </c>
      <c r="BP2189">
        <v>0</v>
      </c>
      <c r="BW2189" t="str">
        <f>"14:54:01.949"</f>
        <v>14:54:01.949</v>
      </c>
      <c r="CJ2189">
        <v>3</v>
      </c>
      <c r="CK2189">
        <v>2</v>
      </c>
      <c r="CL2189">
        <v>0</v>
      </c>
      <c r="CM2189">
        <v>2</v>
      </c>
      <c r="CN2189">
        <v>0</v>
      </c>
      <c r="CO2189">
        <v>6</v>
      </c>
      <c r="CP2189" t="s">
        <v>119</v>
      </c>
      <c r="CQ2189">
        <v>232</v>
      </c>
      <c r="CR2189">
        <v>2</v>
      </c>
      <c r="CW2189">
        <v>7078779</v>
      </c>
      <c r="CY2189">
        <v>1</v>
      </c>
      <c r="CZ2189">
        <v>0</v>
      </c>
      <c r="DA2189">
        <v>1</v>
      </c>
      <c r="DB2189">
        <v>0</v>
      </c>
      <c r="DC2189">
        <v>0</v>
      </c>
      <c r="DD2189">
        <v>1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3">
      <c r="A2190" t="str">
        <f>"12/16/2021 14:54:03.087"</f>
        <v>12/16/2021 14:54:03.087</v>
      </c>
      <c r="C2190" t="str">
        <f t="shared" si="106"/>
        <v>FFDFD3C0</v>
      </c>
      <c r="D2190" t="s">
        <v>133</v>
      </c>
      <c r="E2190">
        <v>44</v>
      </c>
      <c r="H2190">
        <v>131</v>
      </c>
      <c r="I2190" t="s">
        <v>134</v>
      </c>
      <c r="J2190" t="s">
        <v>135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>"14:54:02.891"</f>
        <v>14:54:02.891</v>
      </c>
      <c r="T2190" t="str">
        <f>"14:54:02.391"</f>
        <v>14:54:02.391</v>
      </c>
      <c r="U2190" t="str">
        <f t="shared" si="108"/>
        <v>A0F928</v>
      </c>
      <c r="V2190">
        <v>0</v>
      </c>
      <c r="W2190">
        <v>0</v>
      </c>
      <c r="X2190">
        <v>2</v>
      </c>
      <c r="Z2190">
        <v>0</v>
      </c>
      <c r="AA2190">
        <v>9</v>
      </c>
      <c r="AB2190">
        <v>3</v>
      </c>
      <c r="AC2190">
        <v>0</v>
      </c>
      <c r="AD2190">
        <v>10</v>
      </c>
      <c r="AE2190">
        <v>0</v>
      </c>
      <c r="AF2190">
        <v>3</v>
      </c>
      <c r="AG2190">
        <v>2</v>
      </c>
      <c r="AH2190">
        <v>1</v>
      </c>
      <c r="AI2190" t="s">
        <v>1139</v>
      </c>
      <c r="AJ2190">
        <v>35.845041000000002</v>
      </c>
      <c r="AK2190" t="s">
        <v>1140</v>
      </c>
      <c r="AL2190">
        <v>-83.954708999999994</v>
      </c>
      <c r="AM2190">
        <v>25</v>
      </c>
      <c r="AN2190">
        <v>1100</v>
      </c>
      <c r="AO2190" t="s">
        <v>118</v>
      </c>
      <c r="AP2190">
        <v>53</v>
      </c>
      <c r="AQ2190">
        <v>-75</v>
      </c>
      <c r="AR2190">
        <v>-64</v>
      </c>
      <c r="AZ2190">
        <v>300</v>
      </c>
      <c r="BA2190">
        <v>1</v>
      </c>
      <c r="BB2190" t="str">
        <f t="shared" si="107"/>
        <v xml:space="preserve">N162AM  </v>
      </c>
      <c r="BC2190">
        <v>1</v>
      </c>
      <c r="BE2190">
        <v>0</v>
      </c>
      <c r="BF2190">
        <v>0</v>
      </c>
      <c r="BG2190">
        <v>0</v>
      </c>
      <c r="BH2190">
        <v>1350</v>
      </c>
      <c r="BI2190">
        <v>1</v>
      </c>
      <c r="BJ2190">
        <v>1</v>
      </c>
      <c r="BK2190">
        <v>1</v>
      </c>
      <c r="BL2190">
        <v>0</v>
      </c>
      <c r="BO2190">
        <v>0</v>
      </c>
      <c r="BP2190">
        <v>0</v>
      </c>
      <c r="BW2190" t="str">
        <f>"14:54:02.896"</f>
        <v>14:54:02.896</v>
      </c>
      <c r="CJ2190">
        <v>3</v>
      </c>
      <c r="CK2190">
        <v>2</v>
      </c>
      <c r="CL2190">
        <v>0</v>
      </c>
      <c r="CM2190">
        <v>2</v>
      </c>
      <c r="CN2190">
        <v>0</v>
      </c>
      <c r="CO2190">
        <v>6</v>
      </c>
      <c r="CP2190" t="s">
        <v>119</v>
      </c>
      <c r="CQ2190">
        <v>232</v>
      </c>
      <c r="CR2190">
        <v>1</v>
      </c>
      <c r="CW2190">
        <v>15859450</v>
      </c>
      <c r="CY2190">
        <v>1</v>
      </c>
      <c r="CZ2190">
        <v>0</v>
      </c>
      <c r="DA2190">
        <v>0</v>
      </c>
      <c r="DB2190">
        <v>0</v>
      </c>
      <c r="DC2190">
        <v>0</v>
      </c>
      <c r="DD2190">
        <v>1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3">
      <c r="A2191" t="str">
        <f>"12/16/2021 14:54:03.087"</f>
        <v>12/16/2021 14:54:03.087</v>
      </c>
      <c r="C2191" t="str">
        <f t="shared" si="106"/>
        <v>FFDFD3C0</v>
      </c>
      <c r="D2191" t="s">
        <v>124</v>
      </c>
      <c r="E2191">
        <v>5</v>
      </c>
      <c r="F2191">
        <v>1005</v>
      </c>
      <c r="G2191" t="s">
        <v>114</v>
      </c>
      <c r="J2191" t="s">
        <v>125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>"14:54:02.891"</f>
        <v>14:54:02.891</v>
      </c>
      <c r="T2191" t="str">
        <f>"14:54:02.391"</f>
        <v>14:54:02.391</v>
      </c>
      <c r="U2191" t="str">
        <f t="shared" si="108"/>
        <v>A0F928</v>
      </c>
      <c r="V2191">
        <v>0</v>
      </c>
      <c r="W2191">
        <v>0</v>
      </c>
      <c r="X2191">
        <v>2</v>
      </c>
      <c r="Z2191">
        <v>0</v>
      </c>
      <c r="AA2191">
        <v>9</v>
      </c>
      <c r="AB2191">
        <v>3</v>
      </c>
      <c r="AC2191">
        <v>0</v>
      </c>
      <c r="AD2191">
        <v>10</v>
      </c>
      <c r="AE2191">
        <v>0</v>
      </c>
      <c r="AF2191">
        <v>3</v>
      </c>
      <c r="AG2191">
        <v>2</v>
      </c>
      <c r="AH2191">
        <v>1</v>
      </c>
      <c r="AI2191" t="s">
        <v>1139</v>
      </c>
      <c r="AJ2191">
        <v>35.845041000000002</v>
      </c>
      <c r="AK2191" t="s">
        <v>1140</v>
      </c>
      <c r="AL2191">
        <v>-83.954708999999994</v>
      </c>
      <c r="AM2191">
        <v>25</v>
      </c>
      <c r="AN2191">
        <v>1100</v>
      </c>
      <c r="AO2191" t="s">
        <v>118</v>
      </c>
      <c r="AP2191">
        <v>53</v>
      </c>
      <c r="AQ2191">
        <v>-75</v>
      </c>
      <c r="AR2191">
        <v>-64</v>
      </c>
      <c r="AZ2191">
        <v>300</v>
      </c>
      <c r="BA2191">
        <v>1</v>
      </c>
      <c r="BB2191" t="str">
        <f t="shared" si="107"/>
        <v xml:space="preserve">N162AM  </v>
      </c>
      <c r="BC2191">
        <v>1</v>
      </c>
      <c r="BE2191">
        <v>0</v>
      </c>
      <c r="BF2191">
        <v>0</v>
      </c>
      <c r="BG2191">
        <v>0</v>
      </c>
      <c r="BH2191">
        <v>1350</v>
      </c>
      <c r="BI2191">
        <v>1</v>
      </c>
      <c r="BJ2191">
        <v>1</v>
      </c>
      <c r="BK2191">
        <v>1</v>
      </c>
      <c r="BL2191">
        <v>0</v>
      </c>
      <c r="BO2191">
        <v>0</v>
      </c>
      <c r="BP2191">
        <v>0</v>
      </c>
      <c r="BW2191" t="str">
        <f>"14:54:02.896"</f>
        <v>14:54:02.896</v>
      </c>
      <c r="CJ2191">
        <v>3</v>
      </c>
      <c r="CK2191">
        <v>2</v>
      </c>
      <c r="CL2191">
        <v>0</v>
      </c>
      <c r="CM2191">
        <v>2</v>
      </c>
      <c r="CN2191">
        <v>0</v>
      </c>
      <c r="CO2191">
        <v>6</v>
      </c>
      <c r="CP2191" t="s">
        <v>119</v>
      </c>
      <c r="CQ2191">
        <v>232</v>
      </c>
      <c r="CR2191">
        <v>1</v>
      </c>
      <c r="CW2191">
        <v>15859450</v>
      </c>
      <c r="CY2191">
        <v>1</v>
      </c>
      <c r="CZ2191">
        <v>0</v>
      </c>
      <c r="DA2191">
        <v>1</v>
      </c>
      <c r="DB2191">
        <v>0</v>
      </c>
      <c r="DC2191">
        <v>0</v>
      </c>
      <c r="DD2191">
        <v>1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3">
      <c r="A2192" t="str">
        <f>"12/16/2021 14:54:03.118"</f>
        <v>12/16/2021 14:54:03.118</v>
      </c>
      <c r="C2192" t="str">
        <f t="shared" si="106"/>
        <v>FFDFD3C0</v>
      </c>
      <c r="D2192" t="s">
        <v>124</v>
      </c>
      <c r="E2192">
        <v>10</v>
      </c>
      <c r="F2192">
        <v>1010</v>
      </c>
      <c r="G2192" t="s">
        <v>130</v>
      </c>
      <c r="J2192" t="s">
        <v>125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>"14:54:02.891"</f>
        <v>14:54:02.891</v>
      </c>
      <c r="T2192" t="str">
        <f>"14:54:02.391"</f>
        <v>14:54:02.391</v>
      </c>
      <c r="U2192" t="str">
        <f t="shared" si="108"/>
        <v>A0F928</v>
      </c>
      <c r="V2192">
        <v>0</v>
      </c>
      <c r="W2192">
        <v>0</v>
      </c>
      <c r="X2192">
        <v>2</v>
      </c>
      <c r="Z2192">
        <v>0</v>
      </c>
      <c r="AA2192">
        <v>9</v>
      </c>
      <c r="AB2192">
        <v>3</v>
      </c>
      <c r="AC2192">
        <v>0</v>
      </c>
      <c r="AD2192">
        <v>10</v>
      </c>
      <c r="AE2192">
        <v>0</v>
      </c>
      <c r="AF2192">
        <v>0</v>
      </c>
      <c r="AG2192">
        <v>2</v>
      </c>
      <c r="AH2192">
        <v>1</v>
      </c>
      <c r="AI2192" t="s">
        <v>1139</v>
      </c>
      <c r="AJ2192">
        <v>35.845041000000002</v>
      </c>
      <c r="AK2192" t="s">
        <v>1140</v>
      </c>
      <c r="AL2192">
        <v>-83.954708999999994</v>
      </c>
      <c r="AM2192">
        <v>25</v>
      </c>
      <c r="AN2192">
        <v>1100</v>
      </c>
      <c r="AO2192" t="s">
        <v>118</v>
      </c>
      <c r="AP2192">
        <v>53</v>
      </c>
      <c r="AQ2192">
        <v>-75</v>
      </c>
      <c r="AR2192">
        <v>-64</v>
      </c>
      <c r="AZ2192">
        <v>300</v>
      </c>
      <c r="BA2192">
        <v>1</v>
      </c>
      <c r="BB2192" t="str">
        <f t="shared" si="107"/>
        <v xml:space="preserve">N162AM  </v>
      </c>
      <c r="BC2192">
        <v>1</v>
      </c>
      <c r="BE2192">
        <v>0</v>
      </c>
      <c r="BF2192">
        <v>0</v>
      </c>
      <c r="BG2192">
        <v>0</v>
      </c>
      <c r="BH2192">
        <v>1350</v>
      </c>
      <c r="BI2192">
        <v>1</v>
      </c>
      <c r="BJ2192">
        <v>1</v>
      </c>
      <c r="BK2192">
        <v>1</v>
      </c>
      <c r="BL2192">
        <v>0</v>
      </c>
      <c r="BO2192">
        <v>0</v>
      </c>
      <c r="BP2192">
        <v>0</v>
      </c>
      <c r="BW2192" t="str">
        <f>"14:54:02.896"</f>
        <v>14:54:02.896</v>
      </c>
      <c r="CJ2192">
        <v>2</v>
      </c>
      <c r="CK2192">
        <v>2</v>
      </c>
      <c r="CL2192">
        <v>0</v>
      </c>
      <c r="CM2192">
        <v>2</v>
      </c>
      <c r="CN2192">
        <v>0</v>
      </c>
      <c r="CO2192">
        <v>6</v>
      </c>
      <c r="CP2192" t="s">
        <v>119</v>
      </c>
      <c r="CQ2192">
        <v>232</v>
      </c>
      <c r="CR2192">
        <v>1</v>
      </c>
      <c r="CW2192">
        <v>15859450</v>
      </c>
      <c r="CY2192">
        <v>1</v>
      </c>
      <c r="CZ2192">
        <v>0</v>
      </c>
      <c r="DA2192">
        <v>1</v>
      </c>
      <c r="DB2192">
        <v>0</v>
      </c>
      <c r="DC2192">
        <v>0</v>
      </c>
      <c r="DD2192">
        <v>1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3">
      <c r="A2193" t="str">
        <f>"12/16/2021 14:54:03.118"</f>
        <v>12/16/2021 14:54:03.118</v>
      </c>
      <c r="C2193" t="str">
        <f t="shared" si="106"/>
        <v>FFDFD3C0</v>
      </c>
      <c r="D2193" t="s">
        <v>113</v>
      </c>
      <c r="E2193">
        <v>8</v>
      </c>
      <c r="H2193">
        <v>176</v>
      </c>
      <c r="I2193" t="s">
        <v>114</v>
      </c>
      <c r="J2193" t="s">
        <v>115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>"14:54:02.891"</f>
        <v>14:54:02.891</v>
      </c>
      <c r="T2193" t="str">
        <f>"14:54:02.391"</f>
        <v>14:54:02.391</v>
      </c>
      <c r="U2193" t="str">
        <f t="shared" si="108"/>
        <v>A0F928</v>
      </c>
      <c r="V2193">
        <v>0</v>
      </c>
      <c r="W2193">
        <v>0</v>
      </c>
      <c r="X2193">
        <v>2</v>
      </c>
      <c r="Z2193">
        <v>0</v>
      </c>
      <c r="AA2193">
        <v>9</v>
      </c>
      <c r="AB2193">
        <v>3</v>
      </c>
      <c r="AC2193">
        <v>0</v>
      </c>
      <c r="AD2193">
        <v>10</v>
      </c>
      <c r="AE2193">
        <v>0</v>
      </c>
      <c r="AF2193">
        <v>3</v>
      </c>
      <c r="AG2193">
        <v>2</v>
      </c>
      <c r="AH2193">
        <v>1</v>
      </c>
      <c r="AI2193" t="s">
        <v>1139</v>
      </c>
      <c r="AJ2193">
        <v>35.845041000000002</v>
      </c>
      <c r="AK2193" t="s">
        <v>1140</v>
      </c>
      <c r="AL2193">
        <v>-83.954708999999994</v>
      </c>
      <c r="AM2193">
        <v>25</v>
      </c>
      <c r="AN2193">
        <v>1100</v>
      </c>
      <c r="AO2193" t="s">
        <v>118</v>
      </c>
      <c r="AP2193">
        <v>53</v>
      </c>
      <c r="AQ2193">
        <v>-75</v>
      </c>
      <c r="AR2193">
        <v>-64</v>
      </c>
      <c r="AZ2193">
        <v>300</v>
      </c>
      <c r="BA2193">
        <v>1</v>
      </c>
      <c r="BB2193" t="str">
        <f t="shared" si="107"/>
        <v xml:space="preserve">N162AM  </v>
      </c>
      <c r="BC2193">
        <v>1</v>
      </c>
      <c r="BE2193">
        <v>0</v>
      </c>
      <c r="BF2193">
        <v>0</v>
      </c>
      <c r="BG2193">
        <v>0</v>
      </c>
      <c r="BH2193">
        <v>1350</v>
      </c>
      <c r="BI2193">
        <v>1</v>
      </c>
      <c r="BJ2193">
        <v>1</v>
      </c>
      <c r="BK2193">
        <v>1</v>
      </c>
      <c r="BL2193">
        <v>0</v>
      </c>
      <c r="BO2193">
        <v>0</v>
      </c>
      <c r="BP2193">
        <v>0</v>
      </c>
      <c r="BW2193" t="str">
        <f>"14:54:02.896"</f>
        <v>14:54:02.896</v>
      </c>
      <c r="CJ2193">
        <v>3</v>
      </c>
      <c r="CK2193">
        <v>2</v>
      </c>
      <c r="CL2193">
        <v>0</v>
      </c>
      <c r="CM2193">
        <v>2</v>
      </c>
      <c r="CN2193">
        <v>0</v>
      </c>
      <c r="CO2193">
        <v>6</v>
      </c>
      <c r="CP2193" t="s">
        <v>119</v>
      </c>
      <c r="CQ2193">
        <v>232</v>
      </c>
      <c r="CR2193">
        <v>1</v>
      </c>
      <c r="CW2193">
        <v>15859450</v>
      </c>
      <c r="CY2193">
        <v>1</v>
      </c>
      <c r="CZ2193">
        <v>0</v>
      </c>
      <c r="DA2193">
        <v>1</v>
      </c>
      <c r="DB2193">
        <v>0</v>
      </c>
      <c r="DC2193">
        <v>0</v>
      </c>
      <c r="DD2193">
        <v>1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3">
      <c r="A2194" t="str">
        <f>"12/16/2021 14:54:04.087"</f>
        <v>12/16/2021 14:54:04.087</v>
      </c>
      <c r="C2194" t="str">
        <f t="shared" si="106"/>
        <v>FFDFD3C0</v>
      </c>
      <c r="D2194" t="s">
        <v>113</v>
      </c>
      <c r="E2194">
        <v>8</v>
      </c>
      <c r="H2194">
        <v>176</v>
      </c>
      <c r="I2194" t="s">
        <v>114</v>
      </c>
      <c r="J2194" t="s">
        <v>115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>"14:54:03.891"</f>
        <v>14:54:03.891</v>
      </c>
      <c r="T2194" t="str">
        <f>"14:54:03.391"</f>
        <v>14:54:03.391</v>
      </c>
      <c r="U2194" t="str">
        <f t="shared" si="108"/>
        <v>A0F928</v>
      </c>
      <c r="V2194">
        <v>0</v>
      </c>
      <c r="W2194">
        <v>0</v>
      </c>
      <c r="X2194">
        <v>2</v>
      </c>
      <c r="Z2194">
        <v>0</v>
      </c>
      <c r="AA2194">
        <v>9</v>
      </c>
      <c r="AB2194">
        <v>3</v>
      </c>
      <c r="AC2194">
        <v>0</v>
      </c>
      <c r="AD2194">
        <v>10</v>
      </c>
      <c r="AE2194">
        <v>0</v>
      </c>
      <c r="AF2194">
        <v>3</v>
      </c>
      <c r="AG2194">
        <v>2</v>
      </c>
      <c r="AH2194">
        <v>1</v>
      </c>
      <c r="AI2194" t="s">
        <v>1141</v>
      </c>
      <c r="AJ2194">
        <v>35.844655000000003</v>
      </c>
      <c r="AK2194" t="s">
        <v>532</v>
      </c>
      <c r="AL2194">
        <v>-83.954430000000002</v>
      </c>
      <c r="AM2194">
        <v>25</v>
      </c>
      <c r="AN2194">
        <v>1100</v>
      </c>
      <c r="AO2194" t="s">
        <v>118</v>
      </c>
      <c r="AP2194">
        <v>53</v>
      </c>
      <c r="AQ2194">
        <v>-75</v>
      </c>
      <c r="AR2194">
        <v>-128</v>
      </c>
      <c r="AZ2194">
        <v>300</v>
      </c>
      <c r="BA2194">
        <v>1</v>
      </c>
      <c r="BB2194" t="str">
        <f t="shared" si="107"/>
        <v xml:space="preserve">N162AM  </v>
      </c>
      <c r="BC2194">
        <v>1</v>
      </c>
      <c r="BE2194">
        <v>0</v>
      </c>
      <c r="BF2194">
        <v>0</v>
      </c>
      <c r="BG2194">
        <v>0</v>
      </c>
      <c r="BH2194">
        <v>1350</v>
      </c>
      <c r="BI2194">
        <v>1</v>
      </c>
      <c r="BJ2194">
        <v>1</v>
      </c>
      <c r="BK2194">
        <v>1</v>
      </c>
      <c r="BL2194">
        <v>0</v>
      </c>
      <c r="BO2194">
        <v>0</v>
      </c>
      <c r="BP2194">
        <v>0</v>
      </c>
      <c r="BW2194" t="str">
        <f>"14:54:03.894"</f>
        <v>14:54:03.894</v>
      </c>
      <c r="CJ2194">
        <v>3</v>
      </c>
      <c r="CK2194">
        <v>2</v>
      </c>
      <c r="CL2194">
        <v>0</v>
      </c>
      <c r="CM2194">
        <v>2</v>
      </c>
      <c r="CN2194">
        <v>0</v>
      </c>
      <c r="CO2194">
        <v>6</v>
      </c>
      <c r="CP2194" t="s">
        <v>119</v>
      </c>
      <c r="CQ2194">
        <v>232</v>
      </c>
      <c r="CR2194">
        <v>2</v>
      </c>
      <c r="CW2194">
        <v>7081876</v>
      </c>
      <c r="CY2194">
        <v>1</v>
      </c>
      <c r="CZ2194">
        <v>0</v>
      </c>
      <c r="DA2194">
        <v>0</v>
      </c>
      <c r="DB2194">
        <v>0</v>
      </c>
      <c r="DC2194">
        <v>0</v>
      </c>
      <c r="DD2194">
        <v>1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3">
      <c r="A2195" t="str">
        <f>"12/16/2021 14:54:04.118"</f>
        <v>12/16/2021 14:54:04.118</v>
      </c>
      <c r="C2195" t="str">
        <f t="shared" si="106"/>
        <v>FFDFD3C0</v>
      </c>
      <c r="D2195" t="s">
        <v>124</v>
      </c>
      <c r="E2195">
        <v>5</v>
      </c>
      <c r="F2195">
        <v>1005</v>
      </c>
      <c r="G2195" t="s">
        <v>114</v>
      </c>
      <c r="J2195" t="s">
        <v>125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>"14:54:03.891"</f>
        <v>14:54:03.891</v>
      </c>
      <c r="T2195" t="str">
        <f>"14:54:03.391"</f>
        <v>14:54:03.391</v>
      </c>
      <c r="U2195" t="str">
        <f t="shared" si="108"/>
        <v>A0F928</v>
      </c>
      <c r="V2195">
        <v>0</v>
      </c>
      <c r="W2195">
        <v>0</v>
      </c>
      <c r="X2195">
        <v>2</v>
      </c>
      <c r="Z2195">
        <v>0</v>
      </c>
      <c r="AA2195">
        <v>9</v>
      </c>
      <c r="AB2195">
        <v>3</v>
      </c>
      <c r="AC2195">
        <v>0</v>
      </c>
      <c r="AD2195">
        <v>10</v>
      </c>
      <c r="AE2195">
        <v>0</v>
      </c>
      <c r="AF2195">
        <v>3</v>
      </c>
      <c r="AG2195">
        <v>2</v>
      </c>
      <c r="AH2195">
        <v>1</v>
      </c>
      <c r="AI2195" t="s">
        <v>1141</v>
      </c>
      <c r="AJ2195">
        <v>35.844655000000003</v>
      </c>
      <c r="AK2195" t="s">
        <v>532</v>
      </c>
      <c r="AL2195">
        <v>-83.954430000000002</v>
      </c>
      <c r="AM2195">
        <v>25</v>
      </c>
      <c r="AN2195">
        <v>1100</v>
      </c>
      <c r="AO2195" t="s">
        <v>118</v>
      </c>
      <c r="AP2195">
        <v>53</v>
      </c>
      <c r="AQ2195">
        <v>-75</v>
      </c>
      <c r="AR2195">
        <v>-128</v>
      </c>
      <c r="AZ2195">
        <v>300</v>
      </c>
      <c r="BA2195">
        <v>1</v>
      </c>
      <c r="BB2195" t="str">
        <f t="shared" si="107"/>
        <v xml:space="preserve">N162AM  </v>
      </c>
      <c r="BC2195">
        <v>1</v>
      </c>
      <c r="BE2195">
        <v>0</v>
      </c>
      <c r="BF2195">
        <v>0</v>
      </c>
      <c r="BG2195">
        <v>0</v>
      </c>
      <c r="BH2195">
        <v>1350</v>
      </c>
      <c r="BI2195">
        <v>1</v>
      </c>
      <c r="BJ2195">
        <v>1</v>
      </c>
      <c r="BK2195">
        <v>1</v>
      </c>
      <c r="BL2195">
        <v>0</v>
      </c>
      <c r="BO2195">
        <v>0</v>
      </c>
      <c r="BP2195">
        <v>0</v>
      </c>
      <c r="BW2195" t="str">
        <f>"14:54:03.894"</f>
        <v>14:54:03.894</v>
      </c>
      <c r="CJ2195">
        <v>3</v>
      </c>
      <c r="CK2195">
        <v>2</v>
      </c>
      <c r="CL2195">
        <v>0</v>
      </c>
      <c r="CM2195">
        <v>2</v>
      </c>
      <c r="CN2195">
        <v>0</v>
      </c>
      <c r="CO2195">
        <v>6</v>
      </c>
      <c r="CP2195" t="s">
        <v>119</v>
      </c>
      <c r="CQ2195">
        <v>232</v>
      </c>
      <c r="CR2195">
        <v>2</v>
      </c>
      <c r="CW2195">
        <v>7081876</v>
      </c>
      <c r="CY2195">
        <v>1</v>
      </c>
      <c r="CZ2195">
        <v>0</v>
      </c>
      <c r="DA2195">
        <v>1</v>
      </c>
      <c r="DB2195">
        <v>0</v>
      </c>
      <c r="DC2195">
        <v>0</v>
      </c>
      <c r="DD2195">
        <v>1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3">
      <c r="A2196" t="str">
        <f>"12/16/2021 14:54:04.118"</f>
        <v>12/16/2021 14:54:04.118</v>
      </c>
      <c r="C2196" t="str">
        <f t="shared" si="106"/>
        <v>FFDFD3C0</v>
      </c>
      <c r="D2196" t="s">
        <v>133</v>
      </c>
      <c r="E2196">
        <v>44</v>
      </c>
      <c r="H2196">
        <v>131</v>
      </c>
      <c r="I2196" t="s">
        <v>134</v>
      </c>
      <c r="J2196" t="s">
        <v>135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>"14:54:03.891"</f>
        <v>14:54:03.891</v>
      </c>
      <c r="T2196" t="str">
        <f>"14:54:03.391"</f>
        <v>14:54:03.391</v>
      </c>
      <c r="U2196" t="str">
        <f t="shared" si="108"/>
        <v>A0F928</v>
      </c>
      <c r="V2196">
        <v>0</v>
      </c>
      <c r="W2196">
        <v>0</v>
      </c>
      <c r="X2196">
        <v>2</v>
      </c>
      <c r="Z2196">
        <v>0</v>
      </c>
      <c r="AA2196">
        <v>9</v>
      </c>
      <c r="AB2196">
        <v>3</v>
      </c>
      <c r="AC2196">
        <v>0</v>
      </c>
      <c r="AD2196">
        <v>10</v>
      </c>
      <c r="AE2196">
        <v>0</v>
      </c>
      <c r="AF2196">
        <v>3</v>
      </c>
      <c r="AG2196">
        <v>2</v>
      </c>
      <c r="AH2196">
        <v>1</v>
      </c>
      <c r="AI2196" t="s">
        <v>1141</v>
      </c>
      <c r="AJ2196">
        <v>35.844655000000003</v>
      </c>
      <c r="AK2196" t="s">
        <v>532</v>
      </c>
      <c r="AL2196">
        <v>-83.954430000000002</v>
      </c>
      <c r="AM2196">
        <v>25</v>
      </c>
      <c r="AN2196">
        <v>1100</v>
      </c>
      <c r="AO2196" t="s">
        <v>118</v>
      </c>
      <c r="AP2196">
        <v>53</v>
      </c>
      <c r="AQ2196">
        <v>-75</v>
      </c>
      <c r="AR2196">
        <v>-128</v>
      </c>
      <c r="AZ2196">
        <v>300</v>
      </c>
      <c r="BA2196">
        <v>1</v>
      </c>
      <c r="BB2196" t="str">
        <f t="shared" si="107"/>
        <v xml:space="preserve">N162AM  </v>
      </c>
      <c r="BC2196">
        <v>1</v>
      </c>
      <c r="BE2196">
        <v>0</v>
      </c>
      <c r="BF2196">
        <v>0</v>
      </c>
      <c r="BG2196">
        <v>0</v>
      </c>
      <c r="BH2196">
        <v>1350</v>
      </c>
      <c r="BI2196">
        <v>1</v>
      </c>
      <c r="BJ2196">
        <v>1</v>
      </c>
      <c r="BK2196">
        <v>1</v>
      </c>
      <c r="BL2196">
        <v>0</v>
      </c>
      <c r="BO2196">
        <v>0</v>
      </c>
      <c r="BP2196">
        <v>0</v>
      </c>
      <c r="BW2196" t="str">
        <f>"14:54:03.894"</f>
        <v>14:54:03.894</v>
      </c>
      <c r="CJ2196">
        <v>3</v>
      </c>
      <c r="CK2196">
        <v>2</v>
      </c>
      <c r="CL2196">
        <v>0</v>
      </c>
      <c r="CM2196">
        <v>2</v>
      </c>
      <c r="CN2196">
        <v>0</v>
      </c>
      <c r="CO2196">
        <v>6</v>
      </c>
      <c r="CP2196" t="s">
        <v>119</v>
      </c>
      <c r="CQ2196">
        <v>232</v>
      </c>
      <c r="CR2196">
        <v>2</v>
      </c>
      <c r="CW2196">
        <v>7081876</v>
      </c>
      <c r="CY2196">
        <v>1</v>
      </c>
      <c r="CZ2196">
        <v>0</v>
      </c>
      <c r="DA2196">
        <v>1</v>
      </c>
      <c r="DB2196">
        <v>0</v>
      </c>
      <c r="DC2196">
        <v>0</v>
      </c>
      <c r="DD2196">
        <v>1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3">
      <c r="A2197" t="str">
        <f>"12/16/2021 14:54:04.118"</f>
        <v>12/16/2021 14:54:04.118</v>
      </c>
      <c r="C2197" t="str">
        <f t="shared" si="106"/>
        <v>FFDFD3C0</v>
      </c>
      <c r="D2197" t="s">
        <v>124</v>
      </c>
      <c r="E2197">
        <v>10</v>
      </c>
      <c r="F2197">
        <v>1010</v>
      </c>
      <c r="G2197" t="s">
        <v>130</v>
      </c>
      <c r="J2197" t="s">
        <v>125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>"14:54:03.891"</f>
        <v>14:54:03.891</v>
      </c>
      <c r="T2197" t="str">
        <f>"14:54:03.391"</f>
        <v>14:54:03.391</v>
      </c>
      <c r="U2197" t="str">
        <f t="shared" si="108"/>
        <v>A0F928</v>
      </c>
      <c r="V2197">
        <v>0</v>
      </c>
      <c r="W2197">
        <v>0</v>
      </c>
      <c r="X2197">
        <v>2</v>
      </c>
      <c r="Z2197">
        <v>0</v>
      </c>
      <c r="AA2197">
        <v>9</v>
      </c>
      <c r="AB2197">
        <v>3</v>
      </c>
      <c r="AC2197">
        <v>0</v>
      </c>
      <c r="AD2197">
        <v>10</v>
      </c>
      <c r="AE2197">
        <v>0</v>
      </c>
      <c r="AF2197">
        <v>0</v>
      </c>
      <c r="AG2197">
        <v>2</v>
      </c>
      <c r="AH2197">
        <v>1</v>
      </c>
      <c r="AI2197" t="s">
        <v>1141</v>
      </c>
      <c r="AJ2197">
        <v>35.844655000000003</v>
      </c>
      <c r="AK2197" t="s">
        <v>532</v>
      </c>
      <c r="AL2197">
        <v>-83.954430000000002</v>
      </c>
      <c r="AM2197">
        <v>25</v>
      </c>
      <c r="AN2197">
        <v>1100</v>
      </c>
      <c r="AO2197" t="s">
        <v>118</v>
      </c>
      <c r="AP2197">
        <v>53</v>
      </c>
      <c r="AQ2197">
        <v>-75</v>
      </c>
      <c r="AR2197">
        <v>-128</v>
      </c>
      <c r="AZ2197">
        <v>300</v>
      </c>
      <c r="BA2197">
        <v>1</v>
      </c>
      <c r="BB2197" t="str">
        <f t="shared" si="107"/>
        <v xml:space="preserve">N162AM  </v>
      </c>
      <c r="BC2197">
        <v>1</v>
      </c>
      <c r="BE2197">
        <v>0</v>
      </c>
      <c r="BF2197">
        <v>0</v>
      </c>
      <c r="BG2197">
        <v>0</v>
      </c>
      <c r="BH2197">
        <v>1350</v>
      </c>
      <c r="BI2197">
        <v>1</v>
      </c>
      <c r="BJ2197">
        <v>1</v>
      </c>
      <c r="BK2197">
        <v>1</v>
      </c>
      <c r="BL2197">
        <v>0</v>
      </c>
      <c r="BO2197">
        <v>0</v>
      </c>
      <c r="BP2197">
        <v>0</v>
      </c>
      <c r="BW2197" t="str">
        <f>"14:54:03.894"</f>
        <v>14:54:03.894</v>
      </c>
      <c r="CJ2197">
        <v>2</v>
      </c>
      <c r="CK2197">
        <v>2</v>
      </c>
      <c r="CL2197">
        <v>0</v>
      </c>
      <c r="CM2197">
        <v>2</v>
      </c>
      <c r="CN2197">
        <v>0</v>
      </c>
      <c r="CO2197">
        <v>6</v>
      </c>
      <c r="CP2197" t="s">
        <v>119</v>
      </c>
      <c r="CQ2197">
        <v>232</v>
      </c>
      <c r="CR2197">
        <v>2</v>
      </c>
      <c r="CW2197">
        <v>7081876</v>
      </c>
      <c r="CY2197">
        <v>1</v>
      </c>
      <c r="CZ2197">
        <v>0</v>
      </c>
      <c r="DA2197">
        <v>1</v>
      </c>
      <c r="DB2197">
        <v>0</v>
      </c>
      <c r="DC2197">
        <v>0</v>
      </c>
      <c r="DD2197">
        <v>1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3">
      <c r="A2198" t="str">
        <f>"12/16/2021 14:54:05.383"</f>
        <v>12/16/2021 14:54:05.383</v>
      </c>
      <c r="C2198" t="str">
        <f t="shared" si="106"/>
        <v>FFDFD3C0</v>
      </c>
      <c r="D2198" t="s">
        <v>124</v>
      </c>
      <c r="E2198">
        <v>10</v>
      </c>
      <c r="F2198">
        <v>1010</v>
      </c>
      <c r="G2198" t="s">
        <v>130</v>
      </c>
      <c r="J2198" t="s">
        <v>125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>"14:54:05.180"</f>
        <v>14:54:05.180</v>
      </c>
      <c r="T2198" t="str">
        <f>"14:54:04.780"</f>
        <v>14:54:04.780</v>
      </c>
      <c r="U2198" t="str">
        <f t="shared" si="108"/>
        <v>A0F928</v>
      </c>
      <c r="V2198">
        <v>0</v>
      </c>
      <c r="W2198">
        <v>0</v>
      </c>
      <c r="X2198">
        <v>2</v>
      </c>
      <c r="Z2198">
        <v>0</v>
      </c>
      <c r="AA2198">
        <v>9</v>
      </c>
      <c r="AB2198">
        <v>3</v>
      </c>
      <c r="AC2198">
        <v>0</v>
      </c>
      <c r="AD2198">
        <v>10</v>
      </c>
      <c r="AE2198">
        <v>0</v>
      </c>
      <c r="AF2198">
        <v>0</v>
      </c>
      <c r="AG2198">
        <v>2</v>
      </c>
      <c r="AH2198">
        <v>1</v>
      </c>
      <c r="AI2198" t="s">
        <v>1142</v>
      </c>
      <c r="AJ2198">
        <v>35.844225999999999</v>
      </c>
      <c r="AK2198" t="s">
        <v>1143</v>
      </c>
      <c r="AL2198">
        <v>-83.954021999999995</v>
      </c>
      <c r="AM2198">
        <v>25</v>
      </c>
      <c r="AN2198">
        <v>1100</v>
      </c>
      <c r="AO2198" t="s">
        <v>118</v>
      </c>
      <c r="AP2198">
        <v>52</v>
      </c>
      <c r="AQ2198">
        <v>-75</v>
      </c>
      <c r="AR2198">
        <v>-128</v>
      </c>
      <c r="AZ2198">
        <v>300</v>
      </c>
      <c r="BA2198">
        <v>1</v>
      </c>
      <c r="BB2198" t="str">
        <f t="shared" si="107"/>
        <v xml:space="preserve">N162AM  </v>
      </c>
      <c r="BC2198">
        <v>1</v>
      </c>
      <c r="BE2198">
        <v>0</v>
      </c>
      <c r="BF2198">
        <v>0</v>
      </c>
      <c r="BG2198">
        <v>0</v>
      </c>
      <c r="BH2198">
        <v>1350</v>
      </c>
      <c r="BI2198">
        <v>1</v>
      </c>
      <c r="BJ2198">
        <v>1</v>
      </c>
      <c r="BK2198">
        <v>1</v>
      </c>
      <c r="BL2198">
        <v>0</v>
      </c>
      <c r="BO2198">
        <v>0</v>
      </c>
      <c r="BP2198">
        <v>0</v>
      </c>
      <c r="BW2198" t="str">
        <f>"14:54:05.180"</f>
        <v>14:54:05.180</v>
      </c>
      <c r="CJ2198">
        <v>2</v>
      </c>
      <c r="CK2198">
        <v>2</v>
      </c>
      <c r="CL2198">
        <v>0</v>
      </c>
      <c r="CM2198">
        <v>2</v>
      </c>
      <c r="CN2198">
        <v>0</v>
      </c>
      <c r="CO2198">
        <v>6</v>
      </c>
      <c r="CP2198" t="s">
        <v>119</v>
      </c>
      <c r="CQ2198">
        <v>232</v>
      </c>
      <c r="CR2198">
        <v>1</v>
      </c>
      <c r="CW2198">
        <v>15862694</v>
      </c>
      <c r="CY2198">
        <v>1</v>
      </c>
      <c r="CZ2198">
        <v>0</v>
      </c>
      <c r="DA2198">
        <v>0</v>
      </c>
      <c r="DB2198">
        <v>0</v>
      </c>
      <c r="DC2198">
        <v>0</v>
      </c>
      <c r="DD2198">
        <v>1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3">
      <c r="A2199" t="str">
        <f>"12/16/2021 14:54:05.399"</f>
        <v>12/16/2021 14:54:05.399</v>
      </c>
      <c r="C2199" t="str">
        <f t="shared" si="106"/>
        <v>FFDFD3C0</v>
      </c>
      <c r="D2199" t="s">
        <v>113</v>
      </c>
      <c r="E2199">
        <v>8</v>
      </c>
      <c r="H2199">
        <v>176</v>
      </c>
      <c r="I2199" t="s">
        <v>114</v>
      </c>
      <c r="J2199" t="s">
        <v>115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>"14:54:05.180"</f>
        <v>14:54:05.180</v>
      </c>
      <c r="T2199" t="str">
        <f>"14:54:04.780"</f>
        <v>14:54:04.780</v>
      </c>
      <c r="U2199" t="str">
        <f t="shared" si="108"/>
        <v>A0F928</v>
      </c>
      <c r="V2199">
        <v>0</v>
      </c>
      <c r="W2199">
        <v>0</v>
      </c>
      <c r="X2199">
        <v>2</v>
      </c>
      <c r="Z2199">
        <v>0</v>
      </c>
      <c r="AA2199">
        <v>9</v>
      </c>
      <c r="AB2199">
        <v>3</v>
      </c>
      <c r="AC2199">
        <v>0</v>
      </c>
      <c r="AD2199">
        <v>10</v>
      </c>
      <c r="AE2199">
        <v>0</v>
      </c>
      <c r="AF2199">
        <v>3</v>
      </c>
      <c r="AG2199">
        <v>2</v>
      </c>
      <c r="AH2199">
        <v>1</v>
      </c>
      <c r="AI2199" t="s">
        <v>1142</v>
      </c>
      <c r="AJ2199">
        <v>35.844225999999999</v>
      </c>
      <c r="AK2199" t="s">
        <v>1143</v>
      </c>
      <c r="AL2199">
        <v>-83.954021999999995</v>
      </c>
      <c r="AM2199">
        <v>25</v>
      </c>
      <c r="AN2199">
        <v>1100</v>
      </c>
      <c r="AO2199" t="s">
        <v>118</v>
      </c>
      <c r="AP2199">
        <v>52</v>
      </c>
      <c r="AQ2199">
        <v>-75</v>
      </c>
      <c r="AR2199">
        <v>-128</v>
      </c>
      <c r="AZ2199">
        <v>300</v>
      </c>
      <c r="BA2199">
        <v>1</v>
      </c>
      <c r="BB2199" t="str">
        <f t="shared" si="107"/>
        <v xml:space="preserve">N162AM  </v>
      </c>
      <c r="BC2199">
        <v>1</v>
      </c>
      <c r="BE2199">
        <v>0</v>
      </c>
      <c r="BF2199">
        <v>0</v>
      </c>
      <c r="BG2199">
        <v>0</v>
      </c>
      <c r="BH2199">
        <v>1350</v>
      </c>
      <c r="BI2199">
        <v>1</v>
      </c>
      <c r="BJ2199">
        <v>1</v>
      </c>
      <c r="BK2199">
        <v>1</v>
      </c>
      <c r="BL2199">
        <v>0</v>
      </c>
      <c r="BO2199">
        <v>0</v>
      </c>
      <c r="BP2199">
        <v>0</v>
      </c>
      <c r="BW2199" t="str">
        <f>"14:54:05.180"</f>
        <v>14:54:05.180</v>
      </c>
      <c r="CJ2199">
        <v>3</v>
      </c>
      <c r="CK2199">
        <v>2</v>
      </c>
      <c r="CL2199">
        <v>0</v>
      </c>
      <c r="CM2199">
        <v>2</v>
      </c>
      <c r="CN2199">
        <v>0</v>
      </c>
      <c r="CO2199">
        <v>6</v>
      </c>
      <c r="CP2199" t="s">
        <v>119</v>
      </c>
      <c r="CQ2199">
        <v>232</v>
      </c>
      <c r="CR2199">
        <v>1</v>
      </c>
      <c r="CW2199">
        <v>15862694</v>
      </c>
      <c r="CY2199">
        <v>1</v>
      </c>
      <c r="CZ2199">
        <v>0</v>
      </c>
      <c r="DA2199">
        <v>1</v>
      </c>
      <c r="DB2199">
        <v>0</v>
      </c>
      <c r="DC2199">
        <v>0</v>
      </c>
      <c r="DD2199">
        <v>1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3">
      <c r="A2200" t="str">
        <f>"12/16/2021 14:54:05.446"</f>
        <v>12/16/2021 14:54:05.446</v>
      </c>
      <c r="C2200" t="str">
        <f t="shared" si="106"/>
        <v>FFDFD3C0</v>
      </c>
      <c r="D2200" t="s">
        <v>124</v>
      </c>
      <c r="E2200">
        <v>5</v>
      </c>
      <c r="F2200">
        <v>1005</v>
      </c>
      <c r="G2200" t="s">
        <v>114</v>
      </c>
      <c r="J2200" t="s">
        <v>125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>"14:54:05.180"</f>
        <v>14:54:05.180</v>
      </c>
      <c r="T2200" t="str">
        <f>"14:54:04.780"</f>
        <v>14:54:04.780</v>
      </c>
      <c r="U2200" t="str">
        <f t="shared" si="108"/>
        <v>A0F928</v>
      </c>
      <c r="V2200">
        <v>0</v>
      </c>
      <c r="W2200">
        <v>0</v>
      </c>
      <c r="X2200">
        <v>2</v>
      </c>
      <c r="Z2200">
        <v>0</v>
      </c>
      <c r="AA2200">
        <v>9</v>
      </c>
      <c r="AB2200">
        <v>3</v>
      </c>
      <c r="AC2200">
        <v>0</v>
      </c>
      <c r="AD2200">
        <v>10</v>
      </c>
      <c r="AE2200">
        <v>0</v>
      </c>
      <c r="AF2200">
        <v>3</v>
      </c>
      <c r="AG2200">
        <v>2</v>
      </c>
      <c r="AH2200">
        <v>1</v>
      </c>
      <c r="AI2200" t="s">
        <v>1142</v>
      </c>
      <c r="AJ2200">
        <v>35.844225999999999</v>
      </c>
      <c r="AK2200" t="s">
        <v>1143</v>
      </c>
      <c r="AL2200">
        <v>-83.954021999999995</v>
      </c>
      <c r="AM2200">
        <v>25</v>
      </c>
      <c r="AN2200">
        <v>1100</v>
      </c>
      <c r="AO2200" t="s">
        <v>118</v>
      </c>
      <c r="AP2200">
        <v>52</v>
      </c>
      <c r="AQ2200">
        <v>-75</v>
      </c>
      <c r="AR2200">
        <v>-128</v>
      </c>
      <c r="AZ2200">
        <v>300</v>
      </c>
      <c r="BA2200">
        <v>1</v>
      </c>
      <c r="BB2200" t="str">
        <f t="shared" si="107"/>
        <v xml:space="preserve">N162AM  </v>
      </c>
      <c r="BC2200">
        <v>1</v>
      </c>
      <c r="BE2200">
        <v>0</v>
      </c>
      <c r="BF2200">
        <v>0</v>
      </c>
      <c r="BG2200">
        <v>0</v>
      </c>
      <c r="BH2200">
        <v>1350</v>
      </c>
      <c r="BI2200">
        <v>1</v>
      </c>
      <c r="BJ2200">
        <v>1</v>
      </c>
      <c r="BK2200">
        <v>1</v>
      </c>
      <c r="BL2200">
        <v>0</v>
      </c>
      <c r="BO2200">
        <v>0</v>
      </c>
      <c r="BP2200">
        <v>0</v>
      </c>
      <c r="BW2200" t="str">
        <f>"14:54:05.180"</f>
        <v>14:54:05.180</v>
      </c>
      <c r="CJ2200">
        <v>3</v>
      </c>
      <c r="CK2200">
        <v>2</v>
      </c>
      <c r="CL2200">
        <v>0</v>
      </c>
      <c r="CM2200">
        <v>2</v>
      </c>
      <c r="CN2200">
        <v>0</v>
      </c>
      <c r="CO2200">
        <v>6</v>
      </c>
      <c r="CP2200" t="s">
        <v>119</v>
      </c>
      <c r="CQ2200">
        <v>232</v>
      </c>
      <c r="CR2200">
        <v>1</v>
      </c>
      <c r="CW2200">
        <v>15862694</v>
      </c>
      <c r="CY2200">
        <v>1</v>
      </c>
      <c r="CZ2200">
        <v>0</v>
      </c>
      <c r="DA2200">
        <v>1</v>
      </c>
      <c r="DB2200">
        <v>0</v>
      </c>
      <c r="DC2200">
        <v>0</v>
      </c>
      <c r="DD2200">
        <v>1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3">
      <c r="A2201" t="str">
        <f>"12/16/2021 14:54:05.461"</f>
        <v>12/16/2021 14:54:05.461</v>
      </c>
      <c r="C2201" t="str">
        <f t="shared" si="106"/>
        <v>FFDFD3C0</v>
      </c>
      <c r="D2201" t="s">
        <v>133</v>
      </c>
      <c r="E2201">
        <v>44</v>
      </c>
      <c r="H2201">
        <v>131</v>
      </c>
      <c r="I2201" t="s">
        <v>134</v>
      </c>
      <c r="J2201" t="s">
        <v>135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>"14:54:05.180"</f>
        <v>14:54:05.180</v>
      </c>
      <c r="T2201" t="str">
        <f>"14:54:04.780"</f>
        <v>14:54:04.780</v>
      </c>
      <c r="U2201" t="str">
        <f t="shared" si="108"/>
        <v>A0F928</v>
      </c>
      <c r="V2201">
        <v>0</v>
      </c>
      <c r="W2201">
        <v>0</v>
      </c>
      <c r="X2201">
        <v>2</v>
      </c>
      <c r="Z2201">
        <v>0</v>
      </c>
      <c r="AA2201">
        <v>9</v>
      </c>
      <c r="AB2201">
        <v>3</v>
      </c>
      <c r="AC2201">
        <v>0</v>
      </c>
      <c r="AD2201">
        <v>10</v>
      </c>
      <c r="AE2201">
        <v>0</v>
      </c>
      <c r="AF2201">
        <v>3</v>
      </c>
      <c r="AG2201">
        <v>2</v>
      </c>
      <c r="AH2201">
        <v>1</v>
      </c>
      <c r="AI2201" t="s">
        <v>1142</v>
      </c>
      <c r="AJ2201">
        <v>35.844225999999999</v>
      </c>
      <c r="AK2201" t="s">
        <v>1143</v>
      </c>
      <c r="AL2201">
        <v>-83.954021999999995</v>
      </c>
      <c r="AM2201">
        <v>25</v>
      </c>
      <c r="AN2201">
        <v>1100</v>
      </c>
      <c r="AO2201" t="s">
        <v>118</v>
      </c>
      <c r="AP2201">
        <v>52</v>
      </c>
      <c r="AQ2201">
        <v>-75</v>
      </c>
      <c r="AR2201">
        <v>-128</v>
      </c>
      <c r="AZ2201">
        <v>300</v>
      </c>
      <c r="BA2201">
        <v>1</v>
      </c>
      <c r="BB2201" t="str">
        <f t="shared" si="107"/>
        <v xml:space="preserve">N162AM  </v>
      </c>
      <c r="BC2201">
        <v>1</v>
      </c>
      <c r="BE2201">
        <v>0</v>
      </c>
      <c r="BF2201">
        <v>0</v>
      </c>
      <c r="BG2201">
        <v>0</v>
      </c>
      <c r="BH2201">
        <v>1350</v>
      </c>
      <c r="BI2201">
        <v>1</v>
      </c>
      <c r="BJ2201">
        <v>1</v>
      </c>
      <c r="BK2201">
        <v>1</v>
      </c>
      <c r="BL2201">
        <v>0</v>
      </c>
      <c r="BO2201">
        <v>0</v>
      </c>
      <c r="BP2201">
        <v>0</v>
      </c>
      <c r="BW2201" t="str">
        <f>"14:54:05.180"</f>
        <v>14:54:05.180</v>
      </c>
      <c r="CJ2201">
        <v>3</v>
      </c>
      <c r="CK2201">
        <v>2</v>
      </c>
      <c r="CL2201">
        <v>0</v>
      </c>
      <c r="CM2201">
        <v>2</v>
      </c>
      <c r="CN2201">
        <v>0</v>
      </c>
      <c r="CO2201">
        <v>6</v>
      </c>
      <c r="CP2201" t="s">
        <v>119</v>
      </c>
      <c r="CQ2201">
        <v>232</v>
      </c>
      <c r="CR2201">
        <v>1</v>
      </c>
      <c r="CW2201">
        <v>15862694</v>
      </c>
      <c r="CY2201">
        <v>1</v>
      </c>
      <c r="CZ2201">
        <v>0</v>
      </c>
      <c r="DA2201">
        <v>1</v>
      </c>
      <c r="DB2201">
        <v>0</v>
      </c>
      <c r="DC2201">
        <v>0</v>
      </c>
      <c r="DD2201">
        <v>1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3">
      <c r="A2202" t="str">
        <f>"12/16/2021 14:54:07.165"</f>
        <v>12/16/2021 14:54:07.165</v>
      </c>
      <c r="C2202" t="str">
        <f t="shared" si="106"/>
        <v>FFDFD3C0</v>
      </c>
      <c r="D2202" t="s">
        <v>124</v>
      </c>
      <c r="E2202">
        <v>5</v>
      </c>
      <c r="F2202">
        <v>1005</v>
      </c>
      <c r="G2202" t="s">
        <v>114</v>
      </c>
      <c r="J2202" t="s">
        <v>125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>"14:54:06.953"</f>
        <v>14:54:06.953</v>
      </c>
      <c r="T2202" t="str">
        <f>"14:54:06.553"</f>
        <v>14:54:06.553</v>
      </c>
      <c r="U2202" t="str">
        <f t="shared" si="108"/>
        <v>A0F928</v>
      </c>
      <c r="V2202">
        <v>0</v>
      </c>
      <c r="W2202">
        <v>0</v>
      </c>
      <c r="X2202">
        <v>2</v>
      </c>
      <c r="Z2202">
        <v>0</v>
      </c>
      <c r="AA2202">
        <v>9</v>
      </c>
      <c r="AB2202">
        <v>3</v>
      </c>
      <c r="AC2202">
        <v>0</v>
      </c>
      <c r="AD2202">
        <v>10</v>
      </c>
      <c r="AE2202">
        <v>0</v>
      </c>
      <c r="AF2202">
        <v>3</v>
      </c>
      <c r="AG2202">
        <v>2</v>
      </c>
      <c r="AH2202">
        <v>1</v>
      </c>
      <c r="AI2202" t="s">
        <v>1144</v>
      </c>
      <c r="AJ2202">
        <v>35.843581999999998</v>
      </c>
      <c r="AK2202" t="s">
        <v>511</v>
      </c>
      <c r="AL2202">
        <v>-83.953507000000002</v>
      </c>
      <c r="AM2202">
        <v>25</v>
      </c>
      <c r="AN2202">
        <v>1100</v>
      </c>
      <c r="AO2202" t="s">
        <v>118</v>
      </c>
      <c r="AP2202">
        <v>48</v>
      </c>
      <c r="AQ2202">
        <v>-77</v>
      </c>
      <c r="AR2202">
        <v>-128</v>
      </c>
      <c r="AZ2202">
        <v>300</v>
      </c>
      <c r="BA2202">
        <v>1</v>
      </c>
      <c r="BB2202" t="str">
        <f t="shared" si="107"/>
        <v xml:space="preserve">N162AM  </v>
      </c>
      <c r="BC2202">
        <v>1</v>
      </c>
      <c r="BE2202">
        <v>0</v>
      </c>
      <c r="BF2202">
        <v>0</v>
      </c>
      <c r="BG2202">
        <v>0</v>
      </c>
      <c r="BH2202">
        <v>1350</v>
      </c>
      <c r="BI2202">
        <v>1</v>
      </c>
      <c r="BJ2202">
        <v>1</v>
      </c>
      <c r="BK2202">
        <v>1</v>
      </c>
      <c r="BL2202">
        <v>0</v>
      </c>
      <c r="BO2202">
        <v>0</v>
      </c>
      <c r="BP2202">
        <v>0</v>
      </c>
      <c r="BW2202" t="str">
        <f>"14:54:06.959"</f>
        <v>14:54:06.959</v>
      </c>
      <c r="CJ2202">
        <v>3</v>
      </c>
      <c r="CK2202">
        <v>2</v>
      </c>
      <c r="CL2202">
        <v>0</v>
      </c>
      <c r="CM2202">
        <v>2</v>
      </c>
      <c r="CN2202">
        <v>0</v>
      </c>
      <c r="CO2202">
        <v>6</v>
      </c>
      <c r="CP2202" t="s">
        <v>119</v>
      </c>
      <c r="CQ2202">
        <v>232</v>
      </c>
      <c r="CR2202">
        <v>1</v>
      </c>
      <c r="CW2202">
        <v>15865216</v>
      </c>
      <c r="CY2202">
        <v>1</v>
      </c>
      <c r="CZ2202">
        <v>0</v>
      </c>
      <c r="DA2202">
        <v>0</v>
      </c>
      <c r="DB2202">
        <v>0</v>
      </c>
      <c r="DC2202">
        <v>0</v>
      </c>
      <c r="DD2202">
        <v>1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3">
      <c r="A2203" t="str">
        <f>"12/16/2021 14:54:07.165"</f>
        <v>12/16/2021 14:54:07.165</v>
      </c>
      <c r="C2203" t="str">
        <f t="shared" si="106"/>
        <v>FFDFD3C0</v>
      </c>
      <c r="D2203" t="s">
        <v>113</v>
      </c>
      <c r="E2203">
        <v>8</v>
      </c>
      <c r="H2203">
        <v>176</v>
      </c>
      <c r="I2203" t="s">
        <v>114</v>
      </c>
      <c r="J2203" t="s">
        <v>115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>"14:54:06.953"</f>
        <v>14:54:06.953</v>
      </c>
      <c r="T2203" t="str">
        <f>"14:54:06.553"</f>
        <v>14:54:06.553</v>
      </c>
      <c r="U2203" t="str">
        <f t="shared" si="108"/>
        <v>A0F928</v>
      </c>
      <c r="V2203">
        <v>0</v>
      </c>
      <c r="W2203">
        <v>0</v>
      </c>
      <c r="X2203">
        <v>2</v>
      </c>
      <c r="Z2203">
        <v>0</v>
      </c>
      <c r="AA2203">
        <v>9</v>
      </c>
      <c r="AB2203">
        <v>3</v>
      </c>
      <c r="AC2203">
        <v>0</v>
      </c>
      <c r="AD2203">
        <v>10</v>
      </c>
      <c r="AE2203">
        <v>0</v>
      </c>
      <c r="AF2203">
        <v>3</v>
      </c>
      <c r="AG2203">
        <v>2</v>
      </c>
      <c r="AH2203">
        <v>1</v>
      </c>
      <c r="AI2203" t="s">
        <v>1144</v>
      </c>
      <c r="AJ2203">
        <v>35.843581999999998</v>
      </c>
      <c r="AK2203" t="s">
        <v>511</v>
      </c>
      <c r="AL2203">
        <v>-83.953507000000002</v>
      </c>
      <c r="AM2203">
        <v>25</v>
      </c>
      <c r="AN2203">
        <v>1100</v>
      </c>
      <c r="AO2203" t="s">
        <v>118</v>
      </c>
      <c r="AP2203">
        <v>48</v>
      </c>
      <c r="AQ2203">
        <v>-77</v>
      </c>
      <c r="AR2203">
        <v>-128</v>
      </c>
      <c r="AZ2203">
        <v>300</v>
      </c>
      <c r="BA2203">
        <v>1</v>
      </c>
      <c r="BB2203" t="str">
        <f t="shared" si="107"/>
        <v xml:space="preserve">N162AM  </v>
      </c>
      <c r="BC2203">
        <v>1</v>
      </c>
      <c r="BE2203">
        <v>0</v>
      </c>
      <c r="BF2203">
        <v>0</v>
      </c>
      <c r="BG2203">
        <v>0</v>
      </c>
      <c r="BH2203">
        <v>1350</v>
      </c>
      <c r="BI2203">
        <v>1</v>
      </c>
      <c r="BJ2203">
        <v>1</v>
      </c>
      <c r="BK2203">
        <v>1</v>
      </c>
      <c r="BL2203">
        <v>0</v>
      </c>
      <c r="BO2203">
        <v>0</v>
      </c>
      <c r="BP2203">
        <v>0</v>
      </c>
      <c r="BW2203" t="str">
        <f>"14:54:06.959"</f>
        <v>14:54:06.959</v>
      </c>
      <c r="CJ2203">
        <v>3</v>
      </c>
      <c r="CK2203">
        <v>2</v>
      </c>
      <c r="CL2203">
        <v>0</v>
      </c>
      <c r="CM2203">
        <v>2</v>
      </c>
      <c r="CN2203">
        <v>0</v>
      </c>
      <c r="CO2203">
        <v>6</v>
      </c>
      <c r="CP2203" t="s">
        <v>119</v>
      </c>
      <c r="CQ2203">
        <v>232</v>
      </c>
      <c r="CR2203">
        <v>1</v>
      </c>
      <c r="CW2203">
        <v>15865216</v>
      </c>
      <c r="CY2203">
        <v>1</v>
      </c>
      <c r="CZ2203">
        <v>0</v>
      </c>
      <c r="DA2203">
        <v>1</v>
      </c>
      <c r="DB2203">
        <v>0</v>
      </c>
      <c r="DC2203">
        <v>0</v>
      </c>
      <c r="DD2203">
        <v>1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3">
      <c r="A2204" t="str">
        <f>"12/16/2021 14:54:07.212"</f>
        <v>12/16/2021 14:54:07.212</v>
      </c>
      <c r="C2204" t="str">
        <f t="shared" si="106"/>
        <v>FFDFD3C0</v>
      </c>
      <c r="D2204" t="s">
        <v>124</v>
      </c>
      <c r="E2204">
        <v>10</v>
      </c>
      <c r="F2204">
        <v>1010</v>
      </c>
      <c r="G2204" t="s">
        <v>130</v>
      </c>
      <c r="J2204" t="s">
        <v>125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>"14:54:06.953"</f>
        <v>14:54:06.953</v>
      </c>
      <c r="T2204" t="str">
        <f>"14:54:06.553"</f>
        <v>14:54:06.553</v>
      </c>
      <c r="U2204" t="str">
        <f t="shared" si="108"/>
        <v>A0F928</v>
      </c>
      <c r="V2204">
        <v>0</v>
      </c>
      <c r="W2204">
        <v>0</v>
      </c>
      <c r="X2204">
        <v>2</v>
      </c>
      <c r="Z2204">
        <v>0</v>
      </c>
      <c r="AA2204">
        <v>9</v>
      </c>
      <c r="AB2204">
        <v>3</v>
      </c>
      <c r="AC2204">
        <v>0</v>
      </c>
      <c r="AD2204">
        <v>10</v>
      </c>
      <c r="AE2204">
        <v>0</v>
      </c>
      <c r="AF2204">
        <v>0</v>
      </c>
      <c r="AG2204">
        <v>2</v>
      </c>
      <c r="AH2204">
        <v>1</v>
      </c>
      <c r="AI2204" t="s">
        <v>1144</v>
      </c>
      <c r="AJ2204">
        <v>35.843581999999998</v>
      </c>
      <c r="AK2204" t="s">
        <v>511</v>
      </c>
      <c r="AL2204">
        <v>-83.953507000000002</v>
      </c>
      <c r="AM2204">
        <v>25</v>
      </c>
      <c r="AN2204">
        <v>1100</v>
      </c>
      <c r="AO2204" t="s">
        <v>118</v>
      </c>
      <c r="AP2204">
        <v>48</v>
      </c>
      <c r="AQ2204">
        <v>-77</v>
      </c>
      <c r="AR2204">
        <v>-128</v>
      </c>
      <c r="AZ2204">
        <v>300</v>
      </c>
      <c r="BA2204">
        <v>1</v>
      </c>
      <c r="BB2204" t="str">
        <f t="shared" si="107"/>
        <v xml:space="preserve">N162AM  </v>
      </c>
      <c r="BC2204">
        <v>1</v>
      </c>
      <c r="BE2204">
        <v>0</v>
      </c>
      <c r="BF2204">
        <v>0</v>
      </c>
      <c r="BG2204">
        <v>0</v>
      </c>
      <c r="BH2204">
        <v>1350</v>
      </c>
      <c r="BI2204">
        <v>1</v>
      </c>
      <c r="BJ2204">
        <v>1</v>
      </c>
      <c r="BK2204">
        <v>1</v>
      </c>
      <c r="BL2204">
        <v>0</v>
      </c>
      <c r="BO2204">
        <v>0</v>
      </c>
      <c r="BP2204">
        <v>0</v>
      </c>
      <c r="BW2204" t="str">
        <f>"14:54:06.959"</f>
        <v>14:54:06.959</v>
      </c>
      <c r="CJ2204">
        <v>2</v>
      </c>
      <c r="CK2204">
        <v>2</v>
      </c>
      <c r="CL2204">
        <v>0</v>
      </c>
      <c r="CM2204">
        <v>2</v>
      </c>
      <c r="CN2204">
        <v>0</v>
      </c>
      <c r="CO2204">
        <v>6</v>
      </c>
      <c r="CP2204" t="s">
        <v>119</v>
      </c>
      <c r="CQ2204">
        <v>232</v>
      </c>
      <c r="CR2204">
        <v>1</v>
      </c>
      <c r="CW2204">
        <v>15865216</v>
      </c>
      <c r="CY2204">
        <v>1</v>
      </c>
      <c r="CZ2204">
        <v>0</v>
      </c>
      <c r="DA2204">
        <v>1</v>
      </c>
      <c r="DB2204">
        <v>0</v>
      </c>
      <c r="DC2204">
        <v>0</v>
      </c>
      <c r="DD2204">
        <v>1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3">
      <c r="A2205" t="str">
        <f>"12/16/2021 14:54:07.212"</f>
        <v>12/16/2021 14:54:07.212</v>
      </c>
      <c r="C2205" t="str">
        <f t="shared" si="106"/>
        <v>FFDFD3C0</v>
      </c>
      <c r="D2205" t="s">
        <v>133</v>
      </c>
      <c r="E2205">
        <v>44</v>
      </c>
      <c r="H2205">
        <v>131</v>
      </c>
      <c r="I2205" t="s">
        <v>134</v>
      </c>
      <c r="J2205" t="s">
        <v>135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>"14:54:06.953"</f>
        <v>14:54:06.953</v>
      </c>
      <c r="T2205" t="str">
        <f>"14:54:06.553"</f>
        <v>14:54:06.553</v>
      </c>
      <c r="U2205" t="str">
        <f t="shared" si="108"/>
        <v>A0F928</v>
      </c>
      <c r="V2205">
        <v>0</v>
      </c>
      <c r="W2205">
        <v>0</v>
      </c>
      <c r="X2205">
        <v>2</v>
      </c>
      <c r="Z2205">
        <v>0</v>
      </c>
      <c r="AA2205">
        <v>9</v>
      </c>
      <c r="AB2205">
        <v>3</v>
      </c>
      <c r="AC2205">
        <v>0</v>
      </c>
      <c r="AD2205">
        <v>10</v>
      </c>
      <c r="AE2205">
        <v>0</v>
      </c>
      <c r="AF2205">
        <v>3</v>
      </c>
      <c r="AG2205">
        <v>2</v>
      </c>
      <c r="AH2205">
        <v>1</v>
      </c>
      <c r="AI2205" t="s">
        <v>1144</v>
      </c>
      <c r="AJ2205">
        <v>35.843581999999998</v>
      </c>
      <c r="AK2205" t="s">
        <v>511</v>
      </c>
      <c r="AL2205">
        <v>-83.953507000000002</v>
      </c>
      <c r="AM2205">
        <v>25</v>
      </c>
      <c r="AN2205">
        <v>1100</v>
      </c>
      <c r="AO2205" t="s">
        <v>118</v>
      </c>
      <c r="AP2205">
        <v>48</v>
      </c>
      <c r="AQ2205">
        <v>-77</v>
      </c>
      <c r="AR2205">
        <v>-128</v>
      </c>
      <c r="AZ2205">
        <v>300</v>
      </c>
      <c r="BA2205">
        <v>1</v>
      </c>
      <c r="BB2205" t="str">
        <f t="shared" si="107"/>
        <v xml:space="preserve">N162AM  </v>
      </c>
      <c r="BC2205">
        <v>1</v>
      </c>
      <c r="BE2205">
        <v>0</v>
      </c>
      <c r="BF2205">
        <v>0</v>
      </c>
      <c r="BG2205">
        <v>0</v>
      </c>
      <c r="BH2205">
        <v>1350</v>
      </c>
      <c r="BI2205">
        <v>1</v>
      </c>
      <c r="BJ2205">
        <v>1</v>
      </c>
      <c r="BK2205">
        <v>1</v>
      </c>
      <c r="BL2205">
        <v>0</v>
      </c>
      <c r="BO2205">
        <v>0</v>
      </c>
      <c r="BP2205">
        <v>0</v>
      </c>
      <c r="BW2205" t="str">
        <f>"14:54:06.959"</f>
        <v>14:54:06.959</v>
      </c>
      <c r="CJ2205">
        <v>3</v>
      </c>
      <c r="CK2205">
        <v>2</v>
      </c>
      <c r="CL2205">
        <v>0</v>
      </c>
      <c r="CM2205">
        <v>2</v>
      </c>
      <c r="CN2205">
        <v>0</v>
      </c>
      <c r="CO2205">
        <v>6</v>
      </c>
      <c r="CP2205" t="s">
        <v>119</v>
      </c>
      <c r="CQ2205">
        <v>232</v>
      </c>
      <c r="CR2205">
        <v>1</v>
      </c>
      <c r="CW2205">
        <v>15865216</v>
      </c>
      <c r="CY2205">
        <v>1</v>
      </c>
      <c r="CZ2205">
        <v>0</v>
      </c>
      <c r="DA2205">
        <v>1</v>
      </c>
      <c r="DB2205">
        <v>0</v>
      </c>
      <c r="DC2205">
        <v>0</v>
      </c>
      <c r="DD2205">
        <v>1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3">
      <c r="A2206" t="str">
        <f>"12/16/2021 14:54:08.180"</f>
        <v>12/16/2021 14:54:08.180</v>
      </c>
      <c r="C2206" t="str">
        <f t="shared" si="106"/>
        <v>FFDFD3C0</v>
      </c>
      <c r="D2206" t="s">
        <v>124</v>
      </c>
      <c r="E2206">
        <v>5</v>
      </c>
      <c r="F2206">
        <v>1005</v>
      </c>
      <c r="G2206" t="s">
        <v>114</v>
      </c>
      <c r="J2206" t="s">
        <v>125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>"14:54:07.969"</f>
        <v>14:54:07.969</v>
      </c>
      <c r="T2206" t="str">
        <f>"14:54:07.469"</f>
        <v>14:54:07.469</v>
      </c>
      <c r="U2206" t="str">
        <f t="shared" si="108"/>
        <v>A0F928</v>
      </c>
      <c r="V2206">
        <v>0</v>
      </c>
      <c r="W2206">
        <v>0</v>
      </c>
      <c r="X2206">
        <v>2</v>
      </c>
      <c r="Z2206">
        <v>0</v>
      </c>
      <c r="AA2206">
        <v>9</v>
      </c>
      <c r="AB2206">
        <v>3</v>
      </c>
      <c r="AC2206">
        <v>0</v>
      </c>
      <c r="AD2206">
        <v>10</v>
      </c>
      <c r="AE2206">
        <v>0</v>
      </c>
      <c r="AF2206">
        <v>3</v>
      </c>
      <c r="AG2206">
        <v>2</v>
      </c>
      <c r="AH2206">
        <v>1</v>
      </c>
      <c r="AI2206" t="s">
        <v>975</v>
      </c>
      <c r="AJ2206">
        <v>35.843217000000003</v>
      </c>
      <c r="AK2206" t="s">
        <v>1145</v>
      </c>
      <c r="AL2206">
        <v>-83.953292000000005</v>
      </c>
      <c r="AM2206">
        <v>25</v>
      </c>
      <c r="AN2206">
        <v>1100</v>
      </c>
      <c r="AO2206" t="s">
        <v>118</v>
      </c>
      <c r="AP2206">
        <v>45</v>
      </c>
      <c r="AQ2206">
        <v>-79</v>
      </c>
      <c r="AR2206">
        <v>-64</v>
      </c>
      <c r="AZ2206">
        <v>300</v>
      </c>
      <c r="BA2206">
        <v>1</v>
      </c>
      <c r="BB2206" t="str">
        <f t="shared" si="107"/>
        <v xml:space="preserve">N162AM  </v>
      </c>
      <c r="BC2206">
        <v>1</v>
      </c>
      <c r="BE2206">
        <v>0</v>
      </c>
      <c r="BF2206">
        <v>0</v>
      </c>
      <c r="BG2206">
        <v>0</v>
      </c>
      <c r="BH2206">
        <v>1350</v>
      </c>
      <c r="BI2206">
        <v>1</v>
      </c>
      <c r="BJ2206">
        <v>1</v>
      </c>
      <c r="BK2206">
        <v>1</v>
      </c>
      <c r="BL2206">
        <v>0</v>
      </c>
      <c r="BO2206">
        <v>0</v>
      </c>
      <c r="BP2206">
        <v>0</v>
      </c>
      <c r="BW2206" t="str">
        <f>"14:54:07.975"</f>
        <v>14:54:07.975</v>
      </c>
      <c r="CJ2206">
        <v>3</v>
      </c>
      <c r="CK2206">
        <v>2</v>
      </c>
      <c r="CL2206">
        <v>0</v>
      </c>
      <c r="CM2206">
        <v>2</v>
      </c>
      <c r="CN2206">
        <v>0</v>
      </c>
      <c r="CO2206">
        <v>6</v>
      </c>
      <c r="CP2206" t="s">
        <v>119</v>
      </c>
      <c r="CQ2206">
        <v>232</v>
      </c>
      <c r="CR2206">
        <v>1</v>
      </c>
      <c r="CW2206">
        <v>15866639</v>
      </c>
      <c r="CY2206">
        <v>1</v>
      </c>
      <c r="CZ2206">
        <v>0</v>
      </c>
      <c r="DA2206">
        <v>0</v>
      </c>
      <c r="DB2206">
        <v>0</v>
      </c>
      <c r="DC2206">
        <v>0</v>
      </c>
      <c r="DD2206">
        <v>1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3">
      <c r="A2207" t="str">
        <f>"12/16/2021 14:54:08.180"</f>
        <v>12/16/2021 14:54:08.180</v>
      </c>
      <c r="C2207" t="str">
        <f t="shared" si="106"/>
        <v>FFDFD3C0</v>
      </c>
      <c r="D2207" t="s">
        <v>113</v>
      </c>
      <c r="E2207">
        <v>8</v>
      </c>
      <c r="H2207">
        <v>176</v>
      </c>
      <c r="I2207" t="s">
        <v>114</v>
      </c>
      <c r="J2207" t="s">
        <v>115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>"14:54:07.969"</f>
        <v>14:54:07.969</v>
      </c>
      <c r="T2207" t="str">
        <f>"14:54:07.469"</f>
        <v>14:54:07.469</v>
      </c>
      <c r="U2207" t="str">
        <f t="shared" si="108"/>
        <v>A0F928</v>
      </c>
      <c r="V2207">
        <v>0</v>
      </c>
      <c r="W2207">
        <v>0</v>
      </c>
      <c r="X2207">
        <v>2</v>
      </c>
      <c r="Z2207">
        <v>0</v>
      </c>
      <c r="AA2207">
        <v>9</v>
      </c>
      <c r="AB2207">
        <v>3</v>
      </c>
      <c r="AC2207">
        <v>0</v>
      </c>
      <c r="AD2207">
        <v>10</v>
      </c>
      <c r="AE2207">
        <v>0</v>
      </c>
      <c r="AF2207">
        <v>3</v>
      </c>
      <c r="AG2207">
        <v>2</v>
      </c>
      <c r="AH2207">
        <v>1</v>
      </c>
      <c r="AI2207" t="s">
        <v>975</v>
      </c>
      <c r="AJ2207">
        <v>35.843217000000003</v>
      </c>
      <c r="AK2207" t="s">
        <v>1145</v>
      </c>
      <c r="AL2207">
        <v>-83.953292000000005</v>
      </c>
      <c r="AM2207">
        <v>25</v>
      </c>
      <c r="AN2207">
        <v>1100</v>
      </c>
      <c r="AO2207" t="s">
        <v>118</v>
      </c>
      <c r="AP2207">
        <v>45</v>
      </c>
      <c r="AQ2207">
        <v>-79</v>
      </c>
      <c r="AR2207">
        <v>-64</v>
      </c>
      <c r="AZ2207">
        <v>300</v>
      </c>
      <c r="BA2207">
        <v>1</v>
      </c>
      <c r="BB2207" t="str">
        <f t="shared" si="107"/>
        <v xml:space="preserve">N162AM  </v>
      </c>
      <c r="BC2207">
        <v>1</v>
      </c>
      <c r="BE2207">
        <v>0</v>
      </c>
      <c r="BF2207">
        <v>0</v>
      </c>
      <c r="BG2207">
        <v>0</v>
      </c>
      <c r="BH2207">
        <v>1350</v>
      </c>
      <c r="BI2207">
        <v>1</v>
      </c>
      <c r="BJ2207">
        <v>1</v>
      </c>
      <c r="BK2207">
        <v>1</v>
      </c>
      <c r="BL2207">
        <v>0</v>
      </c>
      <c r="BO2207">
        <v>0</v>
      </c>
      <c r="BP2207">
        <v>0</v>
      </c>
      <c r="BW2207" t="str">
        <f>"14:54:07.975"</f>
        <v>14:54:07.975</v>
      </c>
      <c r="CJ2207">
        <v>3</v>
      </c>
      <c r="CK2207">
        <v>2</v>
      </c>
      <c r="CL2207">
        <v>0</v>
      </c>
      <c r="CM2207">
        <v>2</v>
      </c>
      <c r="CN2207">
        <v>0</v>
      </c>
      <c r="CO2207">
        <v>6</v>
      </c>
      <c r="CP2207" t="s">
        <v>119</v>
      </c>
      <c r="CQ2207">
        <v>232</v>
      </c>
      <c r="CR2207">
        <v>1</v>
      </c>
      <c r="CW2207">
        <v>15866639</v>
      </c>
      <c r="CY2207">
        <v>1</v>
      </c>
      <c r="CZ2207">
        <v>0</v>
      </c>
      <c r="DA2207">
        <v>1</v>
      </c>
      <c r="DB2207">
        <v>0</v>
      </c>
      <c r="DC2207">
        <v>0</v>
      </c>
      <c r="DD2207">
        <v>1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3">
      <c r="A2208" t="str">
        <f>"12/16/2021 14:54:08.227"</f>
        <v>12/16/2021 14:54:08.227</v>
      </c>
      <c r="C2208" t="str">
        <f t="shared" si="106"/>
        <v>FFDFD3C0</v>
      </c>
      <c r="D2208" t="s">
        <v>124</v>
      </c>
      <c r="E2208">
        <v>10</v>
      </c>
      <c r="F2208">
        <v>1010</v>
      </c>
      <c r="G2208" t="s">
        <v>130</v>
      </c>
      <c r="J2208" t="s">
        <v>125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>"14:54:07.969"</f>
        <v>14:54:07.969</v>
      </c>
      <c r="T2208" t="str">
        <f>"14:54:07.469"</f>
        <v>14:54:07.469</v>
      </c>
      <c r="U2208" t="str">
        <f t="shared" si="108"/>
        <v>A0F928</v>
      </c>
      <c r="V2208">
        <v>0</v>
      </c>
      <c r="W2208">
        <v>0</v>
      </c>
      <c r="X2208">
        <v>2</v>
      </c>
      <c r="Z2208">
        <v>0</v>
      </c>
      <c r="AA2208">
        <v>9</v>
      </c>
      <c r="AB2208">
        <v>3</v>
      </c>
      <c r="AC2208">
        <v>0</v>
      </c>
      <c r="AD2208">
        <v>10</v>
      </c>
      <c r="AE2208">
        <v>0</v>
      </c>
      <c r="AF2208">
        <v>0</v>
      </c>
      <c r="AG2208">
        <v>2</v>
      </c>
      <c r="AH2208">
        <v>1</v>
      </c>
      <c r="AI2208" t="s">
        <v>975</v>
      </c>
      <c r="AJ2208">
        <v>35.843217000000003</v>
      </c>
      <c r="AK2208" t="s">
        <v>1145</v>
      </c>
      <c r="AL2208">
        <v>-83.953292000000005</v>
      </c>
      <c r="AM2208">
        <v>25</v>
      </c>
      <c r="AN2208">
        <v>1100</v>
      </c>
      <c r="AO2208" t="s">
        <v>118</v>
      </c>
      <c r="AP2208">
        <v>45</v>
      </c>
      <c r="AQ2208">
        <v>-79</v>
      </c>
      <c r="AR2208">
        <v>-64</v>
      </c>
      <c r="AZ2208">
        <v>300</v>
      </c>
      <c r="BA2208">
        <v>1</v>
      </c>
      <c r="BB2208" t="str">
        <f t="shared" si="107"/>
        <v xml:space="preserve">N162AM  </v>
      </c>
      <c r="BC2208">
        <v>1</v>
      </c>
      <c r="BE2208">
        <v>0</v>
      </c>
      <c r="BF2208">
        <v>0</v>
      </c>
      <c r="BG2208">
        <v>0</v>
      </c>
      <c r="BH2208">
        <v>1350</v>
      </c>
      <c r="BI2208">
        <v>1</v>
      </c>
      <c r="BJ2208">
        <v>1</v>
      </c>
      <c r="BK2208">
        <v>1</v>
      </c>
      <c r="BL2208">
        <v>0</v>
      </c>
      <c r="BO2208">
        <v>0</v>
      </c>
      <c r="BP2208">
        <v>0</v>
      </c>
      <c r="BW2208" t="str">
        <f>"14:54:07.975"</f>
        <v>14:54:07.975</v>
      </c>
      <c r="CJ2208">
        <v>2</v>
      </c>
      <c r="CK2208">
        <v>2</v>
      </c>
      <c r="CL2208">
        <v>0</v>
      </c>
      <c r="CM2208">
        <v>2</v>
      </c>
      <c r="CN2208">
        <v>0</v>
      </c>
      <c r="CO2208">
        <v>6</v>
      </c>
      <c r="CP2208" t="s">
        <v>119</v>
      </c>
      <c r="CQ2208">
        <v>232</v>
      </c>
      <c r="CR2208">
        <v>1</v>
      </c>
      <c r="CW2208">
        <v>15866639</v>
      </c>
      <c r="CY2208">
        <v>1</v>
      </c>
      <c r="CZ2208">
        <v>0</v>
      </c>
      <c r="DA2208">
        <v>1</v>
      </c>
      <c r="DB2208">
        <v>0</v>
      </c>
      <c r="DC2208">
        <v>0</v>
      </c>
      <c r="DD2208">
        <v>1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3">
      <c r="A2209" t="str">
        <f>"12/16/2021 14:54:08.227"</f>
        <v>12/16/2021 14:54:08.227</v>
      </c>
      <c r="C2209" t="str">
        <f t="shared" si="106"/>
        <v>FFDFD3C0</v>
      </c>
      <c r="D2209" t="s">
        <v>133</v>
      </c>
      <c r="E2209">
        <v>44</v>
      </c>
      <c r="H2209">
        <v>131</v>
      </c>
      <c r="I2209" t="s">
        <v>134</v>
      </c>
      <c r="J2209" t="s">
        <v>135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>"14:54:07.969"</f>
        <v>14:54:07.969</v>
      </c>
      <c r="T2209" t="str">
        <f>"14:54:07.469"</f>
        <v>14:54:07.469</v>
      </c>
      <c r="U2209" t="str">
        <f t="shared" si="108"/>
        <v>A0F928</v>
      </c>
      <c r="V2209">
        <v>0</v>
      </c>
      <c r="W2209">
        <v>0</v>
      </c>
      <c r="X2209">
        <v>2</v>
      </c>
      <c r="Z2209">
        <v>0</v>
      </c>
      <c r="AA2209">
        <v>9</v>
      </c>
      <c r="AB2209">
        <v>3</v>
      </c>
      <c r="AC2209">
        <v>0</v>
      </c>
      <c r="AD2209">
        <v>10</v>
      </c>
      <c r="AE2209">
        <v>0</v>
      </c>
      <c r="AF2209">
        <v>3</v>
      </c>
      <c r="AG2209">
        <v>2</v>
      </c>
      <c r="AH2209">
        <v>1</v>
      </c>
      <c r="AI2209" t="s">
        <v>975</v>
      </c>
      <c r="AJ2209">
        <v>35.843217000000003</v>
      </c>
      <c r="AK2209" t="s">
        <v>1145</v>
      </c>
      <c r="AL2209">
        <v>-83.953292000000005</v>
      </c>
      <c r="AM2209">
        <v>25</v>
      </c>
      <c r="AN2209">
        <v>1100</v>
      </c>
      <c r="AO2209" t="s">
        <v>118</v>
      </c>
      <c r="AP2209">
        <v>45</v>
      </c>
      <c r="AQ2209">
        <v>-79</v>
      </c>
      <c r="AR2209">
        <v>-64</v>
      </c>
      <c r="AZ2209">
        <v>300</v>
      </c>
      <c r="BA2209">
        <v>1</v>
      </c>
      <c r="BB2209" t="str">
        <f t="shared" si="107"/>
        <v xml:space="preserve">N162AM  </v>
      </c>
      <c r="BC2209">
        <v>1</v>
      </c>
      <c r="BE2209">
        <v>0</v>
      </c>
      <c r="BF2209">
        <v>0</v>
      </c>
      <c r="BG2209">
        <v>0</v>
      </c>
      <c r="BH2209">
        <v>1350</v>
      </c>
      <c r="BI2209">
        <v>1</v>
      </c>
      <c r="BJ2209">
        <v>1</v>
      </c>
      <c r="BK2209">
        <v>1</v>
      </c>
      <c r="BL2209">
        <v>0</v>
      </c>
      <c r="BO2209">
        <v>0</v>
      </c>
      <c r="BP2209">
        <v>0</v>
      </c>
      <c r="BW2209" t="str">
        <f>"14:54:07.975"</f>
        <v>14:54:07.975</v>
      </c>
      <c r="CJ2209">
        <v>3</v>
      </c>
      <c r="CK2209">
        <v>2</v>
      </c>
      <c r="CL2209">
        <v>0</v>
      </c>
      <c r="CM2209">
        <v>2</v>
      </c>
      <c r="CN2209">
        <v>0</v>
      </c>
      <c r="CO2209">
        <v>6</v>
      </c>
      <c r="CP2209" t="s">
        <v>119</v>
      </c>
      <c r="CQ2209">
        <v>232</v>
      </c>
      <c r="CR2209">
        <v>1</v>
      </c>
      <c r="CW2209">
        <v>15866639</v>
      </c>
      <c r="CY2209">
        <v>1</v>
      </c>
      <c r="CZ2209">
        <v>0</v>
      </c>
      <c r="DA2209">
        <v>1</v>
      </c>
      <c r="DB2209">
        <v>0</v>
      </c>
      <c r="DC2209">
        <v>0</v>
      </c>
      <c r="DD2209">
        <v>1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3">
      <c r="A2210" t="str">
        <f>"12/16/2021 14:54:09.462"</f>
        <v>12/16/2021 14:54:09.462</v>
      </c>
      <c r="C2210" t="str">
        <f t="shared" si="106"/>
        <v>FFDFD3C0</v>
      </c>
      <c r="D2210" t="s">
        <v>133</v>
      </c>
      <c r="E2210">
        <v>44</v>
      </c>
      <c r="H2210">
        <v>131</v>
      </c>
      <c r="I2210" t="s">
        <v>134</v>
      </c>
      <c r="J2210" t="s">
        <v>135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>"14:54:09.273"</f>
        <v>14:54:09.273</v>
      </c>
      <c r="T2210" t="str">
        <f>"14:54:08.473"</f>
        <v>14:54:08.473</v>
      </c>
      <c r="U2210" t="str">
        <f t="shared" si="108"/>
        <v>A0F928</v>
      </c>
      <c r="V2210">
        <v>0</v>
      </c>
      <c r="W2210">
        <v>0</v>
      </c>
      <c r="X2210">
        <v>2</v>
      </c>
      <c r="Z2210">
        <v>0</v>
      </c>
      <c r="AA2210">
        <v>9</v>
      </c>
      <c r="AB2210">
        <v>3</v>
      </c>
      <c r="AC2210">
        <v>0</v>
      </c>
      <c r="AD2210">
        <v>10</v>
      </c>
      <c r="AE2210">
        <v>0</v>
      </c>
      <c r="AF2210">
        <v>3</v>
      </c>
      <c r="AG2210">
        <v>2</v>
      </c>
      <c r="AH2210">
        <v>1</v>
      </c>
      <c r="AI2210" t="s">
        <v>1146</v>
      </c>
      <c r="AJ2210">
        <v>35.842702000000003</v>
      </c>
      <c r="AK2210" t="s">
        <v>1147</v>
      </c>
      <c r="AL2210">
        <v>-83.953012999999999</v>
      </c>
      <c r="AM2210">
        <v>25</v>
      </c>
      <c r="AN2210">
        <v>1100</v>
      </c>
      <c r="AO2210" t="s">
        <v>118</v>
      </c>
      <c r="AP2210">
        <v>39</v>
      </c>
      <c r="AQ2210">
        <v>-81</v>
      </c>
      <c r="AR2210">
        <v>-64</v>
      </c>
      <c r="AZ2210">
        <v>300</v>
      </c>
      <c r="BA2210">
        <v>1</v>
      </c>
      <c r="BB2210" t="str">
        <f t="shared" si="107"/>
        <v xml:space="preserve">N162AM  </v>
      </c>
      <c r="BC2210">
        <v>1</v>
      </c>
      <c r="BE2210">
        <v>0</v>
      </c>
      <c r="BF2210">
        <v>0</v>
      </c>
      <c r="BG2210">
        <v>0</v>
      </c>
      <c r="BH2210">
        <v>1350</v>
      </c>
      <c r="BI2210">
        <v>1</v>
      </c>
      <c r="BJ2210">
        <v>1</v>
      </c>
      <c r="BK2210">
        <v>1</v>
      </c>
      <c r="BL2210">
        <v>0</v>
      </c>
      <c r="BO2210">
        <v>0</v>
      </c>
      <c r="BP2210">
        <v>0</v>
      </c>
      <c r="BW2210" t="str">
        <f>"14:54:09.276"</f>
        <v>14:54:09.276</v>
      </c>
      <c r="CJ2210">
        <v>3</v>
      </c>
      <c r="CK2210">
        <v>2</v>
      </c>
      <c r="CL2210">
        <v>0</v>
      </c>
      <c r="CM2210">
        <v>2</v>
      </c>
      <c r="CN2210">
        <v>0</v>
      </c>
      <c r="CO2210">
        <v>6</v>
      </c>
      <c r="CP2210" t="s">
        <v>119</v>
      </c>
      <c r="CQ2210">
        <v>232</v>
      </c>
      <c r="CR2210">
        <v>2</v>
      </c>
      <c r="CW2210">
        <v>7090437</v>
      </c>
      <c r="CY2210">
        <v>1</v>
      </c>
      <c r="CZ2210">
        <v>0</v>
      </c>
      <c r="DA2210">
        <v>0</v>
      </c>
      <c r="DB2210">
        <v>0</v>
      </c>
      <c r="DC2210">
        <v>0</v>
      </c>
      <c r="DD2210">
        <v>1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3">
      <c r="A2211" t="str">
        <f>"12/16/2021 14:54:09.524"</f>
        <v>12/16/2021 14:54:09.524</v>
      </c>
      <c r="C2211" t="str">
        <f t="shared" si="106"/>
        <v>FFDFD3C0</v>
      </c>
      <c r="D2211" t="s">
        <v>124</v>
      </c>
      <c r="E2211">
        <v>5</v>
      </c>
      <c r="F2211">
        <v>1005</v>
      </c>
      <c r="G2211" t="s">
        <v>114</v>
      </c>
      <c r="J2211" t="s">
        <v>125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>"14:54:09.273"</f>
        <v>14:54:09.273</v>
      </c>
      <c r="T2211" t="str">
        <f>"14:54:08.473"</f>
        <v>14:54:08.473</v>
      </c>
      <c r="U2211" t="str">
        <f t="shared" si="108"/>
        <v>A0F928</v>
      </c>
      <c r="V2211">
        <v>0</v>
      </c>
      <c r="W2211">
        <v>0</v>
      </c>
      <c r="X2211">
        <v>2</v>
      </c>
      <c r="Z2211">
        <v>0</v>
      </c>
      <c r="AA2211">
        <v>9</v>
      </c>
      <c r="AB2211">
        <v>3</v>
      </c>
      <c r="AC2211">
        <v>0</v>
      </c>
      <c r="AD2211">
        <v>10</v>
      </c>
      <c r="AE2211">
        <v>0</v>
      </c>
      <c r="AF2211">
        <v>3</v>
      </c>
      <c r="AG2211">
        <v>2</v>
      </c>
      <c r="AH2211">
        <v>1</v>
      </c>
      <c r="AI2211" t="s">
        <v>1146</v>
      </c>
      <c r="AJ2211">
        <v>35.842702000000003</v>
      </c>
      <c r="AK2211" t="s">
        <v>1147</v>
      </c>
      <c r="AL2211">
        <v>-83.953012999999999</v>
      </c>
      <c r="AM2211">
        <v>25</v>
      </c>
      <c r="AN2211">
        <v>1100</v>
      </c>
      <c r="AO2211" t="s">
        <v>118</v>
      </c>
      <c r="AP2211">
        <v>39</v>
      </c>
      <c r="AQ2211">
        <v>-81</v>
      </c>
      <c r="AR2211">
        <v>-64</v>
      </c>
      <c r="AZ2211">
        <v>300</v>
      </c>
      <c r="BA2211">
        <v>1</v>
      </c>
      <c r="BB2211" t="str">
        <f t="shared" si="107"/>
        <v xml:space="preserve">N162AM  </v>
      </c>
      <c r="BC2211">
        <v>1</v>
      </c>
      <c r="BE2211">
        <v>0</v>
      </c>
      <c r="BF2211">
        <v>0</v>
      </c>
      <c r="BG2211">
        <v>0</v>
      </c>
      <c r="BH2211">
        <v>1350</v>
      </c>
      <c r="BI2211">
        <v>1</v>
      </c>
      <c r="BJ2211">
        <v>1</v>
      </c>
      <c r="BK2211">
        <v>1</v>
      </c>
      <c r="BL2211">
        <v>0</v>
      </c>
      <c r="BO2211">
        <v>0</v>
      </c>
      <c r="BP2211">
        <v>0</v>
      </c>
      <c r="BW2211" t="str">
        <f>"14:54:09.276"</f>
        <v>14:54:09.276</v>
      </c>
      <c r="CJ2211">
        <v>3</v>
      </c>
      <c r="CK2211">
        <v>2</v>
      </c>
      <c r="CL2211">
        <v>0</v>
      </c>
      <c r="CM2211">
        <v>2</v>
      </c>
      <c r="CN2211">
        <v>0</v>
      </c>
      <c r="CO2211">
        <v>6</v>
      </c>
      <c r="CP2211" t="s">
        <v>119</v>
      </c>
      <c r="CQ2211">
        <v>232</v>
      </c>
      <c r="CR2211">
        <v>2</v>
      </c>
      <c r="CW2211">
        <v>7090437</v>
      </c>
      <c r="CY2211">
        <v>1</v>
      </c>
      <c r="CZ2211">
        <v>0</v>
      </c>
      <c r="DA2211">
        <v>1</v>
      </c>
      <c r="DB2211">
        <v>0</v>
      </c>
      <c r="DC2211">
        <v>0</v>
      </c>
      <c r="DD2211">
        <v>1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3">
      <c r="A2212" t="str">
        <f>"12/16/2021 14:54:09.524"</f>
        <v>12/16/2021 14:54:09.524</v>
      </c>
      <c r="C2212" t="str">
        <f t="shared" si="106"/>
        <v>FFDFD3C0</v>
      </c>
      <c r="D2212" t="s">
        <v>113</v>
      </c>
      <c r="E2212">
        <v>8</v>
      </c>
      <c r="H2212">
        <v>176</v>
      </c>
      <c r="I2212" t="s">
        <v>114</v>
      </c>
      <c r="J2212" t="s">
        <v>115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>"14:54:09.273"</f>
        <v>14:54:09.273</v>
      </c>
      <c r="T2212" t="str">
        <f>"14:54:08.473"</f>
        <v>14:54:08.473</v>
      </c>
      <c r="U2212" t="str">
        <f t="shared" si="108"/>
        <v>A0F928</v>
      </c>
      <c r="V2212">
        <v>0</v>
      </c>
      <c r="W2212">
        <v>0</v>
      </c>
      <c r="X2212">
        <v>2</v>
      </c>
      <c r="Z2212">
        <v>0</v>
      </c>
      <c r="AA2212">
        <v>9</v>
      </c>
      <c r="AB2212">
        <v>3</v>
      </c>
      <c r="AC2212">
        <v>0</v>
      </c>
      <c r="AD2212">
        <v>10</v>
      </c>
      <c r="AE2212">
        <v>0</v>
      </c>
      <c r="AF2212">
        <v>3</v>
      </c>
      <c r="AG2212">
        <v>2</v>
      </c>
      <c r="AH2212">
        <v>1</v>
      </c>
      <c r="AI2212" t="s">
        <v>1146</v>
      </c>
      <c r="AJ2212">
        <v>35.842702000000003</v>
      </c>
      <c r="AK2212" t="s">
        <v>1147</v>
      </c>
      <c r="AL2212">
        <v>-83.953012999999999</v>
      </c>
      <c r="AM2212">
        <v>25</v>
      </c>
      <c r="AN2212">
        <v>1100</v>
      </c>
      <c r="AO2212" t="s">
        <v>118</v>
      </c>
      <c r="AP2212">
        <v>39</v>
      </c>
      <c r="AQ2212">
        <v>-81</v>
      </c>
      <c r="AR2212">
        <v>-64</v>
      </c>
      <c r="AZ2212">
        <v>300</v>
      </c>
      <c r="BA2212">
        <v>1</v>
      </c>
      <c r="BB2212" t="str">
        <f t="shared" si="107"/>
        <v xml:space="preserve">N162AM  </v>
      </c>
      <c r="BC2212">
        <v>1</v>
      </c>
      <c r="BE2212">
        <v>0</v>
      </c>
      <c r="BF2212">
        <v>0</v>
      </c>
      <c r="BG2212">
        <v>0</v>
      </c>
      <c r="BH2212">
        <v>1350</v>
      </c>
      <c r="BI2212">
        <v>1</v>
      </c>
      <c r="BJ2212">
        <v>1</v>
      </c>
      <c r="BK2212">
        <v>1</v>
      </c>
      <c r="BL2212">
        <v>0</v>
      </c>
      <c r="BO2212">
        <v>0</v>
      </c>
      <c r="BP2212">
        <v>0</v>
      </c>
      <c r="BW2212" t="str">
        <f>"14:54:09.276"</f>
        <v>14:54:09.276</v>
      </c>
      <c r="CJ2212">
        <v>3</v>
      </c>
      <c r="CK2212">
        <v>2</v>
      </c>
      <c r="CL2212">
        <v>0</v>
      </c>
      <c r="CM2212">
        <v>2</v>
      </c>
      <c r="CN2212">
        <v>0</v>
      </c>
      <c r="CO2212">
        <v>6</v>
      </c>
      <c r="CP2212" t="s">
        <v>119</v>
      </c>
      <c r="CQ2212">
        <v>232</v>
      </c>
      <c r="CR2212">
        <v>2</v>
      </c>
      <c r="CW2212">
        <v>7090437</v>
      </c>
      <c r="CY2212">
        <v>1</v>
      </c>
      <c r="CZ2212">
        <v>0</v>
      </c>
      <c r="DA2212">
        <v>1</v>
      </c>
      <c r="DB2212">
        <v>0</v>
      </c>
      <c r="DC2212">
        <v>0</v>
      </c>
      <c r="DD2212">
        <v>1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3">
      <c r="A2213" t="str">
        <f>"12/16/2021 14:54:09.524"</f>
        <v>12/16/2021 14:54:09.524</v>
      </c>
      <c r="C2213" t="str">
        <f t="shared" si="106"/>
        <v>FFDFD3C0</v>
      </c>
      <c r="D2213" t="s">
        <v>124</v>
      </c>
      <c r="E2213">
        <v>10</v>
      </c>
      <c r="F2213">
        <v>1010</v>
      </c>
      <c r="G2213" t="s">
        <v>130</v>
      </c>
      <c r="J2213" t="s">
        <v>125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>"14:54:09.273"</f>
        <v>14:54:09.273</v>
      </c>
      <c r="T2213" t="str">
        <f>"14:54:08.473"</f>
        <v>14:54:08.473</v>
      </c>
      <c r="U2213" t="str">
        <f t="shared" si="108"/>
        <v>A0F928</v>
      </c>
      <c r="V2213">
        <v>0</v>
      </c>
      <c r="W2213">
        <v>0</v>
      </c>
      <c r="X2213">
        <v>2</v>
      </c>
      <c r="Z2213">
        <v>0</v>
      </c>
      <c r="AA2213">
        <v>9</v>
      </c>
      <c r="AB2213">
        <v>3</v>
      </c>
      <c r="AC2213">
        <v>0</v>
      </c>
      <c r="AD2213">
        <v>10</v>
      </c>
      <c r="AE2213">
        <v>0</v>
      </c>
      <c r="AF2213">
        <v>0</v>
      </c>
      <c r="AG2213">
        <v>2</v>
      </c>
      <c r="AH2213">
        <v>1</v>
      </c>
      <c r="AI2213" t="s">
        <v>1146</v>
      </c>
      <c r="AJ2213">
        <v>35.842702000000003</v>
      </c>
      <c r="AK2213" t="s">
        <v>1147</v>
      </c>
      <c r="AL2213">
        <v>-83.953012999999999</v>
      </c>
      <c r="AM2213">
        <v>25</v>
      </c>
      <c r="AN2213">
        <v>1100</v>
      </c>
      <c r="AO2213" t="s">
        <v>118</v>
      </c>
      <c r="AP2213">
        <v>39</v>
      </c>
      <c r="AQ2213">
        <v>-81</v>
      </c>
      <c r="AR2213">
        <v>-64</v>
      </c>
      <c r="AZ2213">
        <v>300</v>
      </c>
      <c r="BA2213">
        <v>1</v>
      </c>
      <c r="BB2213" t="str">
        <f t="shared" si="107"/>
        <v xml:space="preserve">N162AM  </v>
      </c>
      <c r="BC2213">
        <v>1</v>
      </c>
      <c r="BE2213">
        <v>0</v>
      </c>
      <c r="BF2213">
        <v>0</v>
      </c>
      <c r="BG2213">
        <v>0</v>
      </c>
      <c r="BH2213">
        <v>1350</v>
      </c>
      <c r="BI2213">
        <v>1</v>
      </c>
      <c r="BJ2213">
        <v>1</v>
      </c>
      <c r="BK2213">
        <v>1</v>
      </c>
      <c r="BL2213">
        <v>0</v>
      </c>
      <c r="BO2213">
        <v>0</v>
      </c>
      <c r="BP2213">
        <v>0</v>
      </c>
      <c r="BW2213" t="str">
        <f>"14:54:09.276"</f>
        <v>14:54:09.276</v>
      </c>
      <c r="CJ2213">
        <v>2</v>
      </c>
      <c r="CK2213">
        <v>2</v>
      </c>
      <c r="CL2213">
        <v>0</v>
      </c>
      <c r="CM2213">
        <v>2</v>
      </c>
      <c r="CN2213">
        <v>0</v>
      </c>
      <c r="CO2213">
        <v>6</v>
      </c>
      <c r="CP2213" t="s">
        <v>119</v>
      </c>
      <c r="CQ2213">
        <v>232</v>
      </c>
      <c r="CR2213">
        <v>2</v>
      </c>
      <c r="CW2213">
        <v>7090437</v>
      </c>
      <c r="CY2213">
        <v>1</v>
      </c>
      <c r="CZ2213">
        <v>0</v>
      </c>
      <c r="DA2213">
        <v>1</v>
      </c>
      <c r="DB2213">
        <v>0</v>
      </c>
      <c r="DC2213">
        <v>0</v>
      </c>
      <c r="DD2213">
        <v>1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3">
      <c r="A2214" t="str">
        <f>"12/16/2021 14:54:10.508"</f>
        <v>12/16/2021 14:54:10.508</v>
      </c>
      <c r="C2214" t="str">
        <f t="shared" si="106"/>
        <v>FFDFD3C0</v>
      </c>
      <c r="D2214" t="s">
        <v>124</v>
      </c>
      <c r="E2214">
        <v>10</v>
      </c>
      <c r="F2214">
        <v>1010</v>
      </c>
      <c r="G2214" t="s">
        <v>130</v>
      </c>
      <c r="J2214" t="s">
        <v>125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>"14:54:10.305"</f>
        <v>14:54:10.305</v>
      </c>
      <c r="T2214" t="str">
        <f>"14:54:09.805"</f>
        <v>14:54:09.805</v>
      </c>
      <c r="U2214" t="str">
        <f t="shared" si="108"/>
        <v>A0F928</v>
      </c>
      <c r="V2214">
        <v>0</v>
      </c>
      <c r="W2214">
        <v>0</v>
      </c>
      <c r="X2214">
        <v>2</v>
      </c>
      <c r="Z2214">
        <v>0</v>
      </c>
      <c r="AA2214">
        <v>9</v>
      </c>
      <c r="AB2214">
        <v>3</v>
      </c>
      <c r="AC2214">
        <v>0</v>
      </c>
      <c r="AD2214">
        <v>10</v>
      </c>
      <c r="AE2214">
        <v>0</v>
      </c>
      <c r="AF2214">
        <v>0</v>
      </c>
      <c r="AG2214">
        <v>2</v>
      </c>
      <c r="AH2214">
        <v>1</v>
      </c>
      <c r="AI2214" t="s">
        <v>1148</v>
      </c>
      <c r="AJ2214">
        <v>35.842337999999998</v>
      </c>
      <c r="AK2214" t="s">
        <v>635</v>
      </c>
      <c r="AL2214">
        <v>-83.952842000000004</v>
      </c>
      <c r="AM2214">
        <v>25</v>
      </c>
      <c r="AN2214">
        <v>1100</v>
      </c>
      <c r="AO2214" t="s">
        <v>118</v>
      </c>
      <c r="AP2214">
        <v>30</v>
      </c>
      <c r="AQ2214">
        <v>-84</v>
      </c>
      <c r="AR2214">
        <v>-128</v>
      </c>
      <c r="AZ2214">
        <v>300</v>
      </c>
      <c r="BA2214">
        <v>1</v>
      </c>
      <c r="BB2214" t="str">
        <f t="shared" si="107"/>
        <v xml:space="preserve">N162AM  </v>
      </c>
      <c r="BC2214">
        <v>1</v>
      </c>
      <c r="BE2214">
        <v>0</v>
      </c>
      <c r="BF2214">
        <v>0</v>
      </c>
      <c r="BG2214">
        <v>0</v>
      </c>
      <c r="BH2214">
        <v>1350</v>
      </c>
      <c r="BI2214">
        <v>1</v>
      </c>
      <c r="BJ2214">
        <v>1</v>
      </c>
      <c r="BK2214">
        <v>1</v>
      </c>
      <c r="BL2214">
        <v>0</v>
      </c>
      <c r="BO2214">
        <v>0</v>
      </c>
      <c r="BP2214">
        <v>0</v>
      </c>
      <c r="BW2214" t="str">
        <f>"14:54:10.307"</f>
        <v>14:54:10.307</v>
      </c>
      <c r="CJ2214">
        <v>2</v>
      </c>
      <c r="CK2214">
        <v>2</v>
      </c>
      <c r="CL2214">
        <v>0</v>
      </c>
      <c r="CM2214">
        <v>2</v>
      </c>
      <c r="CN2214">
        <v>0</v>
      </c>
      <c r="CO2214">
        <v>5</v>
      </c>
      <c r="CP2214" t="s">
        <v>119</v>
      </c>
      <c r="CQ2214">
        <v>232</v>
      </c>
      <c r="CR2214">
        <v>2</v>
      </c>
      <c r="CW2214">
        <v>7092147</v>
      </c>
      <c r="CY2214">
        <v>1</v>
      </c>
      <c r="CZ2214">
        <v>0</v>
      </c>
      <c r="DA2214">
        <v>0</v>
      </c>
      <c r="DB2214">
        <v>0</v>
      </c>
      <c r="DC2214">
        <v>0</v>
      </c>
      <c r="DD2214">
        <v>1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3">
      <c r="A2215" t="str">
        <f>"12/16/2021 14:54:10.508"</f>
        <v>12/16/2021 14:54:10.508</v>
      </c>
      <c r="C2215" t="str">
        <f t="shared" si="106"/>
        <v>FFDFD3C0</v>
      </c>
      <c r="D2215" t="s">
        <v>113</v>
      </c>
      <c r="E2215">
        <v>8</v>
      </c>
      <c r="H2215">
        <v>176</v>
      </c>
      <c r="I2215" t="s">
        <v>114</v>
      </c>
      <c r="J2215" t="s">
        <v>115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>"14:54:10.305"</f>
        <v>14:54:10.305</v>
      </c>
      <c r="T2215" t="str">
        <f>"14:54:09.805"</f>
        <v>14:54:09.805</v>
      </c>
      <c r="U2215" t="str">
        <f t="shared" si="108"/>
        <v>A0F928</v>
      </c>
      <c r="V2215">
        <v>0</v>
      </c>
      <c r="W2215">
        <v>0</v>
      </c>
      <c r="X2215">
        <v>2</v>
      </c>
      <c r="Z2215">
        <v>0</v>
      </c>
      <c r="AA2215">
        <v>9</v>
      </c>
      <c r="AB2215">
        <v>3</v>
      </c>
      <c r="AC2215">
        <v>0</v>
      </c>
      <c r="AD2215">
        <v>10</v>
      </c>
      <c r="AE2215">
        <v>0</v>
      </c>
      <c r="AF2215">
        <v>3</v>
      </c>
      <c r="AG2215">
        <v>2</v>
      </c>
      <c r="AH2215">
        <v>1</v>
      </c>
      <c r="AI2215" t="s">
        <v>1148</v>
      </c>
      <c r="AJ2215">
        <v>35.842337999999998</v>
      </c>
      <c r="AK2215" t="s">
        <v>635</v>
      </c>
      <c r="AL2215">
        <v>-83.952842000000004</v>
      </c>
      <c r="AM2215">
        <v>25</v>
      </c>
      <c r="AN2215">
        <v>1100</v>
      </c>
      <c r="AO2215" t="s">
        <v>118</v>
      </c>
      <c r="AP2215">
        <v>30</v>
      </c>
      <c r="AQ2215">
        <v>-84</v>
      </c>
      <c r="AR2215">
        <v>-128</v>
      </c>
      <c r="AZ2215">
        <v>300</v>
      </c>
      <c r="BA2215">
        <v>1</v>
      </c>
      <c r="BB2215" t="str">
        <f t="shared" si="107"/>
        <v xml:space="preserve">N162AM  </v>
      </c>
      <c r="BC2215">
        <v>1</v>
      </c>
      <c r="BE2215">
        <v>0</v>
      </c>
      <c r="BF2215">
        <v>0</v>
      </c>
      <c r="BG2215">
        <v>0</v>
      </c>
      <c r="BH2215">
        <v>1350</v>
      </c>
      <c r="BI2215">
        <v>1</v>
      </c>
      <c r="BJ2215">
        <v>1</v>
      </c>
      <c r="BK2215">
        <v>1</v>
      </c>
      <c r="BL2215">
        <v>0</v>
      </c>
      <c r="BO2215">
        <v>0</v>
      </c>
      <c r="BP2215">
        <v>0</v>
      </c>
      <c r="BW2215" t="str">
        <f>"14:54:10.307"</f>
        <v>14:54:10.307</v>
      </c>
      <c r="CJ2215">
        <v>3</v>
      </c>
      <c r="CK2215">
        <v>2</v>
      </c>
      <c r="CL2215">
        <v>0</v>
      </c>
      <c r="CM2215">
        <v>2</v>
      </c>
      <c r="CN2215">
        <v>0</v>
      </c>
      <c r="CO2215">
        <v>5</v>
      </c>
      <c r="CP2215" t="s">
        <v>119</v>
      </c>
      <c r="CQ2215">
        <v>232</v>
      </c>
      <c r="CR2215">
        <v>2</v>
      </c>
      <c r="CW2215">
        <v>7092147</v>
      </c>
      <c r="CY2215">
        <v>1</v>
      </c>
      <c r="CZ2215">
        <v>0</v>
      </c>
      <c r="DA2215">
        <v>1</v>
      </c>
      <c r="DB2215">
        <v>0</v>
      </c>
      <c r="DC2215">
        <v>0</v>
      </c>
      <c r="DD2215">
        <v>1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3">
      <c r="A2216" t="str">
        <f>"12/16/2021 14:54:10.586"</f>
        <v>12/16/2021 14:54:10.586</v>
      </c>
      <c r="C2216" t="str">
        <f t="shared" si="106"/>
        <v>FFDFD3C0</v>
      </c>
      <c r="D2216" t="s">
        <v>133</v>
      </c>
      <c r="E2216">
        <v>44</v>
      </c>
      <c r="H2216">
        <v>131</v>
      </c>
      <c r="I2216" t="s">
        <v>134</v>
      </c>
      <c r="J2216" t="s">
        <v>135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>"14:54:10.305"</f>
        <v>14:54:10.305</v>
      </c>
      <c r="T2216" t="str">
        <f>"14:54:09.805"</f>
        <v>14:54:09.805</v>
      </c>
      <c r="U2216" t="str">
        <f t="shared" si="108"/>
        <v>A0F928</v>
      </c>
      <c r="V2216">
        <v>0</v>
      </c>
      <c r="W2216">
        <v>0</v>
      </c>
      <c r="X2216">
        <v>2</v>
      </c>
      <c r="Z2216">
        <v>0</v>
      </c>
      <c r="AA2216">
        <v>9</v>
      </c>
      <c r="AB2216">
        <v>3</v>
      </c>
      <c r="AC2216">
        <v>0</v>
      </c>
      <c r="AD2216">
        <v>10</v>
      </c>
      <c r="AE2216">
        <v>0</v>
      </c>
      <c r="AF2216">
        <v>3</v>
      </c>
      <c r="AG2216">
        <v>2</v>
      </c>
      <c r="AH2216">
        <v>1</v>
      </c>
      <c r="AI2216" t="s">
        <v>1148</v>
      </c>
      <c r="AJ2216">
        <v>35.842337999999998</v>
      </c>
      <c r="AK2216" t="s">
        <v>635</v>
      </c>
      <c r="AL2216">
        <v>-83.952842000000004</v>
      </c>
      <c r="AM2216">
        <v>25</v>
      </c>
      <c r="AN2216">
        <v>1100</v>
      </c>
      <c r="AO2216" t="s">
        <v>118</v>
      </c>
      <c r="AP2216">
        <v>30</v>
      </c>
      <c r="AQ2216">
        <v>-84</v>
      </c>
      <c r="AR2216">
        <v>-128</v>
      </c>
      <c r="AZ2216">
        <v>300</v>
      </c>
      <c r="BA2216">
        <v>1</v>
      </c>
      <c r="BB2216" t="str">
        <f t="shared" si="107"/>
        <v xml:space="preserve">N162AM  </v>
      </c>
      <c r="BC2216">
        <v>1</v>
      </c>
      <c r="BE2216">
        <v>0</v>
      </c>
      <c r="BF2216">
        <v>0</v>
      </c>
      <c r="BG2216">
        <v>0</v>
      </c>
      <c r="BH2216">
        <v>1350</v>
      </c>
      <c r="BI2216">
        <v>1</v>
      </c>
      <c r="BJ2216">
        <v>1</v>
      </c>
      <c r="BK2216">
        <v>1</v>
      </c>
      <c r="BL2216">
        <v>0</v>
      </c>
      <c r="BO2216">
        <v>0</v>
      </c>
      <c r="BP2216">
        <v>0</v>
      </c>
      <c r="BW2216" t="str">
        <f>"14:54:10.307"</f>
        <v>14:54:10.307</v>
      </c>
      <c r="CJ2216">
        <v>3</v>
      </c>
      <c r="CK2216">
        <v>2</v>
      </c>
      <c r="CL2216">
        <v>0</v>
      </c>
      <c r="CM2216">
        <v>2</v>
      </c>
      <c r="CN2216">
        <v>0</v>
      </c>
      <c r="CO2216">
        <v>5</v>
      </c>
      <c r="CP2216" t="s">
        <v>119</v>
      </c>
      <c r="CQ2216">
        <v>232</v>
      </c>
      <c r="CR2216">
        <v>2</v>
      </c>
      <c r="CW2216">
        <v>7092147</v>
      </c>
      <c r="CY2216">
        <v>1</v>
      </c>
      <c r="CZ2216">
        <v>0</v>
      </c>
      <c r="DA2216">
        <v>1</v>
      </c>
      <c r="DB2216">
        <v>0</v>
      </c>
      <c r="DC2216">
        <v>0</v>
      </c>
      <c r="DD2216">
        <v>1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3">
      <c r="A2217" t="str">
        <f>"12/16/2021 14:54:10.586"</f>
        <v>12/16/2021 14:54:10.586</v>
      </c>
      <c r="C2217" t="str">
        <f t="shared" si="106"/>
        <v>FFDFD3C0</v>
      </c>
      <c r="D2217" t="s">
        <v>124</v>
      </c>
      <c r="E2217">
        <v>5</v>
      </c>
      <c r="F2217">
        <v>1005</v>
      </c>
      <c r="G2217" t="s">
        <v>114</v>
      </c>
      <c r="J2217" t="s">
        <v>125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>"14:54:10.305"</f>
        <v>14:54:10.305</v>
      </c>
      <c r="T2217" t="str">
        <f>"14:54:09.805"</f>
        <v>14:54:09.805</v>
      </c>
      <c r="U2217" t="str">
        <f t="shared" si="108"/>
        <v>A0F928</v>
      </c>
      <c r="V2217">
        <v>0</v>
      </c>
      <c r="W2217">
        <v>0</v>
      </c>
      <c r="X2217">
        <v>2</v>
      </c>
      <c r="Z2217">
        <v>0</v>
      </c>
      <c r="AA2217">
        <v>9</v>
      </c>
      <c r="AB2217">
        <v>3</v>
      </c>
      <c r="AC2217">
        <v>0</v>
      </c>
      <c r="AD2217">
        <v>10</v>
      </c>
      <c r="AE2217">
        <v>0</v>
      </c>
      <c r="AF2217">
        <v>3</v>
      </c>
      <c r="AG2217">
        <v>2</v>
      </c>
      <c r="AH2217">
        <v>1</v>
      </c>
      <c r="AI2217" t="s">
        <v>1148</v>
      </c>
      <c r="AJ2217">
        <v>35.842337999999998</v>
      </c>
      <c r="AK2217" t="s">
        <v>635</v>
      </c>
      <c r="AL2217">
        <v>-83.952842000000004</v>
      </c>
      <c r="AM2217">
        <v>25</v>
      </c>
      <c r="AN2217">
        <v>1100</v>
      </c>
      <c r="AO2217" t="s">
        <v>118</v>
      </c>
      <c r="AP2217">
        <v>30</v>
      </c>
      <c r="AQ2217">
        <v>-84</v>
      </c>
      <c r="AR2217">
        <v>-128</v>
      </c>
      <c r="AZ2217">
        <v>300</v>
      </c>
      <c r="BA2217">
        <v>1</v>
      </c>
      <c r="BB2217" t="str">
        <f t="shared" si="107"/>
        <v xml:space="preserve">N162AM  </v>
      </c>
      <c r="BC2217">
        <v>1</v>
      </c>
      <c r="BE2217">
        <v>0</v>
      </c>
      <c r="BF2217">
        <v>0</v>
      </c>
      <c r="BG2217">
        <v>0</v>
      </c>
      <c r="BH2217">
        <v>1350</v>
      </c>
      <c r="BI2217">
        <v>1</v>
      </c>
      <c r="BJ2217">
        <v>1</v>
      </c>
      <c r="BK2217">
        <v>1</v>
      </c>
      <c r="BL2217">
        <v>0</v>
      </c>
      <c r="BO2217">
        <v>0</v>
      </c>
      <c r="BP2217">
        <v>0</v>
      </c>
      <c r="BW2217" t="str">
        <f>"14:54:10.307"</f>
        <v>14:54:10.307</v>
      </c>
      <c r="CJ2217">
        <v>3</v>
      </c>
      <c r="CK2217">
        <v>2</v>
      </c>
      <c r="CL2217">
        <v>0</v>
      </c>
      <c r="CM2217">
        <v>2</v>
      </c>
      <c r="CN2217">
        <v>0</v>
      </c>
      <c r="CO2217">
        <v>5</v>
      </c>
      <c r="CP2217" t="s">
        <v>119</v>
      </c>
      <c r="CQ2217">
        <v>232</v>
      </c>
      <c r="CR2217">
        <v>2</v>
      </c>
      <c r="CW2217">
        <v>7092147</v>
      </c>
      <c r="CY2217">
        <v>1</v>
      </c>
      <c r="CZ2217">
        <v>0</v>
      </c>
      <c r="DA2217">
        <v>1</v>
      </c>
      <c r="DB2217">
        <v>0</v>
      </c>
      <c r="DC2217">
        <v>0</v>
      </c>
      <c r="DD2217">
        <v>1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3">
      <c r="A2218" t="str">
        <f>"12/16/2021 14:54:11.633"</f>
        <v>12/16/2021 14:54:11.633</v>
      </c>
      <c r="C2218" t="str">
        <f t="shared" si="106"/>
        <v>FFDFD3C0</v>
      </c>
      <c r="D2218" t="s">
        <v>133</v>
      </c>
      <c r="E2218">
        <v>44</v>
      </c>
      <c r="H2218">
        <v>131</v>
      </c>
      <c r="I2218" t="s">
        <v>134</v>
      </c>
      <c r="J2218" t="s">
        <v>135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>"14:54:11.391"</f>
        <v>14:54:11.391</v>
      </c>
      <c r="T2218" t="str">
        <f>"14:54:10.391"</f>
        <v>14:54:10.391</v>
      </c>
      <c r="U2218" t="str">
        <f t="shared" si="108"/>
        <v>A0F928</v>
      </c>
      <c r="V2218">
        <v>0</v>
      </c>
      <c r="W2218">
        <v>0</v>
      </c>
      <c r="X2218">
        <v>2</v>
      </c>
      <c r="Z2218">
        <v>0</v>
      </c>
      <c r="AA2218">
        <v>9</v>
      </c>
      <c r="AB2218">
        <v>3</v>
      </c>
      <c r="AC2218">
        <v>0</v>
      </c>
      <c r="AD2218">
        <v>10</v>
      </c>
      <c r="AE2218">
        <v>0</v>
      </c>
      <c r="AF2218">
        <v>3</v>
      </c>
      <c r="AG2218">
        <v>2</v>
      </c>
      <c r="AH2218">
        <v>1</v>
      </c>
      <c r="AI2218" t="s">
        <v>1149</v>
      </c>
      <c r="AJ2218">
        <v>35.841887</v>
      </c>
      <c r="AK2218" t="s">
        <v>1150</v>
      </c>
      <c r="AL2218">
        <v>-83.952713000000003</v>
      </c>
      <c r="AM2218">
        <v>25</v>
      </c>
      <c r="AN2218">
        <v>1100</v>
      </c>
      <c r="AO2218" t="s">
        <v>118</v>
      </c>
      <c r="AP2218">
        <v>27</v>
      </c>
      <c r="AQ2218">
        <v>-85</v>
      </c>
      <c r="AR2218">
        <v>-256</v>
      </c>
      <c r="AZ2218">
        <v>300</v>
      </c>
      <c r="BA2218">
        <v>1</v>
      </c>
      <c r="BB2218" t="str">
        <f t="shared" si="107"/>
        <v xml:space="preserve">N162AM  </v>
      </c>
      <c r="BC2218">
        <v>1</v>
      </c>
      <c r="BE2218">
        <v>0</v>
      </c>
      <c r="BF2218">
        <v>0</v>
      </c>
      <c r="BG2218">
        <v>0</v>
      </c>
      <c r="BH2218">
        <v>1350</v>
      </c>
      <c r="BI2218">
        <v>1</v>
      </c>
      <c r="BJ2218">
        <v>1</v>
      </c>
      <c r="BK2218">
        <v>1</v>
      </c>
      <c r="BL2218">
        <v>0</v>
      </c>
      <c r="BO2218">
        <v>0</v>
      </c>
      <c r="BP2218">
        <v>0</v>
      </c>
      <c r="BW2218" t="str">
        <f>"14:54:11.394"</f>
        <v>14:54:11.394</v>
      </c>
      <c r="CJ2218">
        <v>3</v>
      </c>
      <c r="CK2218">
        <v>2</v>
      </c>
      <c r="CL2218">
        <v>0</v>
      </c>
      <c r="CM2218">
        <v>2</v>
      </c>
      <c r="CN2218">
        <v>0</v>
      </c>
      <c r="CO2218">
        <v>6</v>
      </c>
      <c r="CP2218" t="s">
        <v>119</v>
      </c>
      <c r="CQ2218">
        <v>232</v>
      </c>
      <c r="CR2218">
        <v>2</v>
      </c>
      <c r="CW2218">
        <v>7093949</v>
      </c>
      <c r="CY2218">
        <v>1</v>
      </c>
      <c r="CZ2218">
        <v>0</v>
      </c>
      <c r="DA2218">
        <v>0</v>
      </c>
      <c r="DB2218">
        <v>0</v>
      </c>
      <c r="DC2218">
        <v>0</v>
      </c>
      <c r="DD2218">
        <v>1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3">
      <c r="A2219" t="str">
        <f>"12/16/2021 14:54:11.633"</f>
        <v>12/16/2021 14:54:11.633</v>
      </c>
      <c r="C2219" t="str">
        <f t="shared" si="106"/>
        <v>FFDFD3C0</v>
      </c>
      <c r="D2219" t="s">
        <v>124</v>
      </c>
      <c r="E2219">
        <v>5</v>
      </c>
      <c r="F2219">
        <v>1005</v>
      </c>
      <c r="G2219" t="s">
        <v>114</v>
      </c>
      <c r="J2219" t="s">
        <v>125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>"14:54:11.391"</f>
        <v>14:54:11.391</v>
      </c>
      <c r="T2219" t="str">
        <f>"14:54:10.391"</f>
        <v>14:54:10.391</v>
      </c>
      <c r="U2219" t="str">
        <f t="shared" si="108"/>
        <v>A0F928</v>
      </c>
      <c r="V2219">
        <v>0</v>
      </c>
      <c r="W2219">
        <v>0</v>
      </c>
      <c r="X2219">
        <v>2</v>
      </c>
      <c r="Z2219">
        <v>0</v>
      </c>
      <c r="AA2219">
        <v>9</v>
      </c>
      <c r="AB2219">
        <v>3</v>
      </c>
      <c r="AC2219">
        <v>0</v>
      </c>
      <c r="AD2219">
        <v>10</v>
      </c>
      <c r="AE2219">
        <v>0</v>
      </c>
      <c r="AF2219">
        <v>3</v>
      </c>
      <c r="AG2219">
        <v>2</v>
      </c>
      <c r="AH2219">
        <v>1</v>
      </c>
      <c r="AI2219" t="s">
        <v>1149</v>
      </c>
      <c r="AJ2219">
        <v>35.841887</v>
      </c>
      <c r="AK2219" t="s">
        <v>1150</v>
      </c>
      <c r="AL2219">
        <v>-83.952713000000003</v>
      </c>
      <c r="AM2219">
        <v>25</v>
      </c>
      <c r="AN2219">
        <v>1100</v>
      </c>
      <c r="AO2219" t="s">
        <v>118</v>
      </c>
      <c r="AP2219">
        <v>27</v>
      </c>
      <c r="AQ2219">
        <v>-85</v>
      </c>
      <c r="AR2219">
        <v>-256</v>
      </c>
      <c r="AZ2219">
        <v>300</v>
      </c>
      <c r="BA2219">
        <v>1</v>
      </c>
      <c r="BB2219" t="str">
        <f t="shared" si="107"/>
        <v xml:space="preserve">N162AM  </v>
      </c>
      <c r="BC2219">
        <v>1</v>
      </c>
      <c r="BE2219">
        <v>0</v>
      </c>
      <c r="BF2219">
        <v>0</v>
      </c>
      <c r="BG2219">
        <v>0</v>
      </c>
      <c r="BH2219">
        <v>1350</v>
      </c>
      <c r="BI2219">
        <v>1</v>
      </c>
      <c r="BJ2219">
        <v>1</v>
      </c>
      <c r="BK2219">
        <v>1</v>
      </c>
      <c r="BL2219">
        <v>0</v>
      </c>
      <c r="BO2219">
        <v>0</v>
      </c>
      <c r="BP2219">
        <v>0</v>
      </c>
      <c r="BW2219" t="str">
        <f>"14:54:11.394"</f>
        <v>14:54:11.394</v>
      </c>
      <c r="CJ2219">
        <v>3</v>
      </c>
      <c r="CK2219">
        <v>2</v>
      </c>
      <c r="CL2219">
        <v>0</v>
      </c>
      <c r="CM2219">
        <v>2</v>
      </c>
      <c r="CN2219">
        <v>0</v>
      </c>
      <c r="CO2219">
        <v>6</v>
      </c>
      <c r="CP2219" t="s">
        <v>119</v>
      </c>
      <c r="CQ2219">
        <v>232</v>
      </c>
      <c r="CR2219">
        <v>2</v>
      </c>
      <c r="CW2219">
        <v>7093949</v>
      </c>
      <c r="CY2219">
        <v>1</v>
      </c>
      <c r="CZ2219">
        <v>0</v>
      </c>
      <c r="DA2219">
        <v>1</v>
      </c>
      <c r="DB2219">
        <v>0</v>
      </c>
      <c r="DC2219">
        <v>0</v>
      </c>
      <c r="DD2219">
        <v>1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3">
      <c r="A2220" t="str">
        <f>"12/16/2021 14:54:11.633"</f>
        <v>12/16/2021 14:54:11.633</v>
      </c>
      <c r="C2220" t="str">
        <f t="shared" si="106"/>
        <v>FFDFD3C0</v>
      </c>
      <c r="D2220" t="s">
        <v>124</v>
      </c>
      <c r="E2220">
        <v>10</v>
      </c>
      <c r="F2220">
        <v>1010</v>
      </c>
      <c r="G2220" t="s">
        <v>130</v>
      </c>
      <c r="J2220" t="s">
        <v>125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>"14:54:11.391"</f>
        <v>14:54:11.391</v>
      </c>
      <c r="T2220" t="str">
        <f>"14:54:10.391"</f>
        <v>14:54:10.391</v>
      </c>
      <c r="U2220" t="str">
        <f t="shared" si="108"/>
        <v>A0F928</v>
      </c>
      <c r="V2220">
        <v>0</v>
      </c>
      <c r="W2220">
        <v>0</v>
      </c>
      <c r="X2220">
        <v>2</v>
      </c>
      <c r="Z2220">
        <v>0</v>
      </c>
      <c r="AA2220">
        <v>9</v>
      </c>
      <c r="AB2220">
        <v>3</v>
      </c>
      <c r="AC2220">
        <v>0</v>
      </c>
      <c r="AD2220">
        <v>10</v>
      </c>
      <c r="AE2220">
        <v>0</v>
      </c>
      <c r="AF2220">
        <v>0</v>
      </c>
      <c r="AG2220">
        <v>2</v>
      </c>
      <c r="AH2220">
        <v>1</v>
      </c>
      <c r="AI2220" t="s">
        <v>1149</v>
      </c>
      <c r="AJ2220">
        <v>35.841887</v>
      </c>
      <c r="AK2220" t="s">
        <v>1150</v>
      </c>
      <c r="AL2220">
        <v>-83.952713000000003</v>
      </c>
      <c r="AM2220">
        <v>25</v>
      </c>
      <c r="AN2220">
        <v>1100</v>
      </c>
      <c r="AO2220" t="s">
        <v>118</v>
      </c>
      <c r="AP2220">
        <v>27</v>
      </c>
      <c r="AQ2220">
        <v>-85</v>
      </c>
      <c r="AR2220">
        <v>-256</v>
      </c>
      <c r="AZ2220">
        <v>300</v>
      </c>
      <c r="BA2220">
        <v>1</v>
      </c>
      <c r="BB2220" t="str">
        <f t="shared" si="107"/>
        <v xml:space="preserve">N162AM  </v>
      </c>
      <c r="BC2220">
        <v>1</v>
      </c>
      <c r="BE2220">
        <v>0</v>
      </c>
      <c r="BF2220">
        <v>0</v>
      </c>
      <c r="BG2220">
        <v>0</v>
      </c>
      <c r="BH2220">
        <v>1350</v>
      </c>
      <c r="BI2220">
        <v>1</v>
      </c>
      <c r="BJ2220">
        <v>1</v>
      </c>
      <c r="BK2220">
        <v>1</v>
      </c>
      <c r="BL2220">
        <v>0</v>
      </c>
      <c r="BO2220">
        <v>0</v>
      </c>
      <c r="BP2220">
        <v>0</v>
      </c>
      <c r="BW2220" t="str">
        <f>"14:54:11.394"</f>
        <v>14:54:11.394</v>
      </c>
      <c r="CJ2220">
        <v>2</v>
      </c>
      <c r="CK2220">
        <v>2</v>
      </c>
      <c r="CL2220">
        <v>0</v>
      </c>
      <c r="CM2220">
        <v>2</v>
      </c>
      <c r="CN2220">
        <v>0</v>
      </c>
      <c r="CO2220">
        <v>6</v>
      </c>
      <c r="CP2220" t="s">
        <v>119</v>
      </c>
      <c r="CQ2220">
        <v>232</v>
      </c>
      <c r="CR2220">
        <v>2</v>
      </c>
      <c r="CW2220">
        <v>7093949</v>
      </c>
      <c r="CY2220">
        <v>1</v>
      </c>
      <c r="CZ2220">
        <v>0</v>
      </c>
      <c r="DA2220">
        <v>1</v>
      </c>
      <c r="DB2220">
        <v>0</v>
      </c>
      <c r="DC2220">
        <v>0</v>
      </c>
      <c r="DD2220">
        <v>1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3">
      <c r="A2221" t="str">
        <f>"12/16/2021 14:54:11.633"</f>
        <v>12/16/2021 14:54:11.633</v>
      </c>
      <c r="C2221" t="str">
        <f t="shared" si="106"/>
        <v>FFDFD3C0</v>
      </c>
      <c r="D2221" t="s">
        <v>113</v>
      </c>
      <c r="E2221">
        <v>8</v>
      </c>
      <c r="H2221">
        <v>176</v>
      </c>
      <c r="I2221" t="s">
        <v>114</v>
      </c>
      <c r="J2221" t="s">
        <v>115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>"14:54:11.391"</f>
        <v>14:54:11.391</v>
      </c>
      <c r="T2221" t="str">
        <f>"14:54:10.391"</f>
        <v>14:54:10.391</v>
      </c>
      <c r="U2221" t="str">
        <f t="shared" si="108"/>
        <v>A0F928</v>
      </c>
      <c r="V2221">
        <v>0</v>
      </c>
      <c r="W2221">
        <v>0</v>
      </c>
      <c r="X2221">
        <v>2</v>
      </c>
      <c r="Z2221">
        <v>0</v>
      </c>
      <c r="AA2221">
        <v>9</v>
      </c>
      <c r="AB2221">
        <v>3</v>
      </c>
      <c r="AC2221">
        <v>0</v>
      </c>
      <c r="AD2221">
        <v>10</v>
      </c>
      <c r="AE2221">
        <v>0</v>
      </c>
      <c r="AF2221">
        <v>3</v>
      </c>
      <c r="AG2221">
        <v>2</v>
      </c>
      <c r="AH2221">
        <v>1</v>
      </c>
      <c r="AI2221" t="s">
        <v>1149</v>
      </c>
      <c r="AJ2221">
        <v>35.841887</v>
      </c>
      <c r="AK2221" t="s">
        <v>1150</v>
      </c>
      <c r="AL2221">
        <v>-83.952713000000003</v>
      </c>
      <c r="AM2221">
        <v>25</v>
      </c>
      <c r="AN2221">
        <v>1100</v>
      </c>
      <c r="AO2221" t="s">
        <v>118</v>
      </c>
      <c r="AP2221">
        <v>27</v>
      </c>
      <c r="AQ2221">
        <v>-85</v>
      </c>
      <c r="AR2221">
        <v>-256</v>
      </c>
      <c r="AZ2221">
        <v>300</v>
      </c>
      <c r="BA2221">
        <v>1</v>
      </c>
      <c r="BB2221" t="str">
        <f t="shared" si="107"/>
        <v xml:space="preserve">N162AM  </v>
      </c>
      <c r="BC2221">
        <v>1</v>
      </c>
      <c r="BE2221">
        <v>0</v>
      </c>
      <c r="BF2221">
        <v>0</v>
      </c>
      <c r="BG2221">
        <v>0</v>
      </c>
      <c r="BH2221">
        <v>1350</v>
      </c>
      <c r="BI2221">
        <v>1</v>
      </c>
      <c r="BJ2221">
        <v>1</v>
      </c>
      <c r="BK2221">
        <v>1</v>
      </c>
      <c r="BL2221">
        <v>0</v>
      </c>
      <c r="BO2221">
        <v>0</v>
      </c>
      <c r="BP2221">
        <v>0</v>
      </c>
      <c r="BW2221" t="str">
        <f>"14:54:11.394"</f>
        <v>14:54:11.394</v>
      </c>
      <c r="CJ2221">
        <v>3</v>
      </c>
      <c r="CK2221">
        <v>2</v>
      </c>
      <c r="CL2221">
        <v>0</v>
      </c>
      <c r="CM2221">
        <v>2</v>
      </c>
      <c r="CN2221">
        <v>0</v>
      </c>
      <c r="CO2221">
        <v>6</v>
      </c>
      <c r="CP2221" t="s">
        <v>119</v>
      </c>
      <c r="CQ2221">
        <v>232</v>
      </c>
      <c r="CR2221">
        <v>2</v>
      </c>
      <c r="CW2221">
        <v>7093949</v>
      </c>
      <c r="CY2221">
        <v>1</v>
      </c>
      <c r="CZ2221">
        <v>0</v>
      </c>
      <c r="DA2221">
        <v>1</v>
      </c>
      <c r="DB2221">
        <v>0</v>
      </c>
      <c r="DC2221">
        <v>0</v>
      </c>
      <c r="DD2221">
        <v>1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3">
      <c r="A2222" t="str">
        <f>"12/16/2021 14:54:12.759"</f>
        <v>12/16/2021 14:54:12.759</v>
      </c>
      <c r="C2222" t="str">
        <f t="shared" ref="C2222:C2285" si="109">"FFDFD3C0"</f>
        <v>FFDFD3C0</v>
      </c>
      <c r="D2222" t="s">
        <v>124</v>
      </c>
      <c r="E2222">
        <v>5</v>
      </c>
      <c r="F2222">
        <v>1005</v>
      </c>
      <c r="G2222" t="s">
        <v>114</v>
      </c>
      <c r="J2222" t="s">
        <v>125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>"14:54:12.453"</f>
        <v>14:54:12.453</v>
      </c>
      <c r="T2222" t="str">
        <f>"14:54:11.953"</f>
        <v>14:54:11.953</v>
      </c>
      <c r="U2222" t="str">
        <f t="shared" si="108"/>
        <v>A0F928</v>
      </c>
      <c r="V2222">
        <v>0</v>
      </c>
      <c r="W2222">
        <v>0</v>
      </c>
      <c r="X2222">
        <v>2</v>
      </c>
      <c r="Z2222">
        <v>0</v>
      </c>
      <c r="AA2222">
        <v>9</v>
      </c>
      <c r="AB2222">
        <v>3</v>
      </c>
      <c r="AC2222">
        <v>0</v>
      </c>
      <c r="AD2222">
        <v>10</v>
      </c>
      <c r="AE2222">
        <v>0</v>
      </c>
      <c r="AF2222">
        <v>3</v>
      </c>
      <c r="AG2222">
        <v>2</v>
      </c>
      <c r="AH2222">
        <v>1</v>
      </c>
      <c r="AI2222" t="s">
        <v>1151</v>
      </c>
      <c r="AJ2222">
        <v>35.841458000000003</v>
      </c>
      <c r="AK2222" t="s">
        <v>1152</v>
      </c>
      <c r="AL2222">
        <v>-83.952669999999998</v>
      </c>
      <c r="AM2222">
        <v>25</v>
      </c>
      <c r="AN2222">
        <v>1100</v>
      </c>
      <c r="AO2222" t="s">
        <v>118</v>
      </c>
      <c r="AP2222">
        <v>15</v>
      </c>
      <c r="AQ2222">
        <v>-87</v>
      </c>
      <c r="AR2222">
        <v>-256</v>
      </c>
      <c r="AZ2222">
        <v>300</v>
      </c>
      <c r="BA2222">
        <v>1</v>
      </c>
      <c r="BB2222" t="str">
        <f t="shared" ref="BB2222:BB2285" si="110">"N162AM  "</f>
        <v xml:space="preserve">N162AM  </v>
      </c>
      <c r="BC2222">
        <v>1</v>
      </c>
      <c r="BE2222">
        <v>0</v>
      </c>
      <c r="BF2222">
        <v>0</v>
      </c>
      <c r="BG2222">
        <v>0</v>
      </c>
      <c r="BH2222">
        <v>1350</v>
      </c>
      <c r="BI2222">
        <v>1</v>
      </c>
      <c r="BJ2222">
        <v>1</v>
      </c>
      <c r="BK2222">
        <v>1</v>
      </c>
      <c r="BL2222">
        <v>0</v>
      </c>
      <c r="BO2222">
        <v>0</v>
      </c>
      <c r="BP2222">
        <v>0</v>
      </c>
      <c r="BW2222" t="str">
        <f>"14:54:12.458"</f>
        <v>14:54:12.458</v>
      </c>
      <c r="CJ2222">
        <v>3</v>
      </c>
      <c r="CK2222">
        <v>2</v>
      </c>
      <c r="CL2222">
        <v>0</v>
      </c>
      <c r="CM2222">
        <v>2</v>
      </c>
      <c r="CN2222">
        <v>0</v>
      </c>
      <c r="CO2222">
        <v>6</v>
      </c>
      <c r="CP2222" t="s">
        <v>119</v>
      </c>
      <c r="CQ2222">
        <v>232</v>
      </c>
      <c r="CR2222">
        <v>1</v>
      </c>
      <c r="CW2222">
        <v>15873144</v>
      </c>
      <c r="CY2222">
        <v>1</v>
      </c>
      <c r="CZ2222">
        <v>0</v>
      </c>
      <c r="DA2222">
        <v>0</v>
      </c>
      <c r="DB2222">
        <v>0</v>
      </c>
      <c r="DC2222">
        <v>0</v>
      </c>
      <c r="DD2222">
        <v>1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3">
      <c r="A2223" t="str">
        <f>"12/16/2021 14:54:12.759"</f>
        <v>12/16/2021 14:54:12.759</v>
      </c>
      <c r="C2223" t="str">
        <f t="shared" si="109"/>
        <v>FFDFD3C0</v>
      </c>
      <c r="D2223" t="s">
        <v>133</v>
      </c>
      <c r="E2223">
        <v>44</v>
      </c>
      <c r="H2223">
        <v>131</v>
      </c>
      <c r="I2223" t="s">
        <v>134</v>
      </c>
      <c r="J2223" t="s">
        <v>135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>"14:54:12.453"</f>
        <v>14:54:12.453</v>
      </c>
      <c r="T2223" t="str">
        <f>"14:54:11.953"</f>
        <v>14:54:11.953</v>
      </c>
      <c r="U2223" t="str">
        <f t="shared" si="108"/>
        <v>A0F928</v>
      </c>
      <c r="V2223">
        <v>0</v>
      </c>
      <c r="W2223">
        <v>0</v>
      </c>
      <c r="X2223">
        <v>2</v>
      </c>
      <c r="Z2223">
        <v>0</v>
      </c>
      <c r="AA2223">
        <v>9</v>
      </c>
      <c r="AB2223">
        <v>3</v>
      </c>
      <c r="AC2223">
        <v>0</v>
      </c>
      <c r="AD2223">
        <v>10</v>
      </c>
      <c r="AE2223">
        <v>0</v>
      </c>
      <c r="AF2223">
        <v>3</v>
      </c>
      <c r="AG2223">
        <v>2</v>
      </c>
      <c r="AH2223">
        <v>1</v>
      </c>
      <c r="AI2223" t="s">
        <v>1151</v>
      </c>
      <c r="AJ2223">
        <v>35.841458000000003</v>
      </c>
      <c r="AK2223" t="s">
        <v>1152</v>
      </c>
      <c r="AL2223">
        <v>-83.952669999999998</v>
      </c>
      <c r="AM2223">
        <v>25</v>
      </c>
      <c r="AN2223">
        <v>1100</v>
      </c>
      <c r="AO2223" t="s">
        <v>118</v>
      </c>
      <c r="AP2223">
        <v>15</v>
      </c>
      <c r="AQ2223">
        <v>-87</v>
      </c>
      <c r="AR2223">
        <v>-256</v>
      </c>
      <c r="AZ2223">
        <v>300</v>
      </c>
      <c r="BA2223">
        <v>1</v>
      </c>
      <c r="BB2223" t="str">
        <f t="shared" si="110"/>
        <v xml:space="preserve">N162AM  </v>
      </c>
      <c r="BC2223">
        <v>1</v>
      </c>
      <c r="BE2223">
        <v>0</v>
      </c>
      <c r="BF2223">
        <v>0</v>
      </c>
      <c r="BG2223">
        <v>0</v>
      </c>
      <c r="BH2223">
        <v>1350</v>
      </c>
      <c r="BI2223">
        <v>1</v>
      </c>
      <c r="BJ2223">
        <v>1</v>
      </c>
      <c r="BK2223">
        <v>1</v>
      </c>
      <c r="BL2223">
        <v>0</v>
      </c>
      <c r="BO2223">
        <v>0</v>
      </c>
      <c r="BP2223">
        <v>0</v>
      </c>
      <c r="BW2223" t="str">
        <f>"14:54:12.458"</f>
        <v>14:54:12.458</v>
      </c>
      <c r="CJ2223">
        <v>3</v>
      </c>
      <c r="CK2223">
        <v>2</v>
      </c>
      <c r="CL2223">
        <v>0</v>
      </c>
      <c r="CM2223">
        <v>2</v>
      </c>
      <c r="CN2223">
        <v>0</v>
      </c>
      <c r="CO2223">
        <v>6</v>
      </c>
      <c r="CP2223" t="s">
        <v>119</v>
      </c>
      <c r="CQ2223">
        <v>232</v>
      </c>
      <c r="CR2223">
        <v>1</v>
      </c>
      <c r="CW2223">
        <v>15873144</v>
      </c>
      <c r="CY2223">
        <v>1</v>
      </c>
      <c r="CZ2223">
        <v>0</v>
      </c>
      <c r="DA2223">
        <v>1</v>
      </c>
      <c r="DB2223">
        <v>0</v>
      </c>
      <c r="DC2223">
        <v>0</v>
      </c>
      <c r="DD2223">
        <v>1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3">
      <c r="A2224" t="str">
        <f>"12/16/2021 14:54:12.759"</f>
        <v>12/16/2021 14:54:12.759</v>
      </c>
      <c r="C2224" t="str">
        <f t="shared" si="109"/>
        <v>FFDFD3C0</v>
      </c>
      <c r="D2224" t="s">
        <v>124</v>
      </c>
      <c r="E2224">
        <v>10</v>
      </c>
      <c r="F2224">
        <v>1010</v>
      </c>
      <c r="G2224" t="s">
        <v>130</v>
      </c>
      <c r="J2224" t="s">
        <v>125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>"14:54:12.453"</f>
        <v>14:54:12.453</v>
      </c>
      <c r="T2224" t="str">
        <f>"14:54:11.953"</f>
        <v>14:54:11.953</v>
      </c>
      <c r="U2224" t="str">
        <f t="shared" si="108"/>
        <v>A0F928</v>
      </c>
      <c r="V2224">
        <v>0</v>
      </c>
      <c r="W2224">
        <v>0</v>
      </c>
      <c r="X2224">
        <v>2</v>
      </c>
      <c r="Z2224">
        <v>0</v>
      </c>
      <c r="AA2224">
        <v>9</v>
      </c>
      <c r="AB2224">
        <v>3</v>
      </c>
      <c r="AC2224">
        <v>0</v>
      </c>
      <c r="AD2224">
        <v>10</v>
      </c>
      <c r="AE2224">
        <v>0</v>
      </c>
      <c r="AF2224">
        <v>0</v>
      </c>
      <c r="AG2224">
        <v>2</v>
      </c>
      <c r="AH2224">
        <v>1</v>
      </c>
      <c r="AI2224" t="s">
        <v>1151</v>
      </c>
      <c r="AJ2224">
        <v>35.841458000000003</v>
      </c>
      <c r="AK2224" t="s">
        <v>1152</v>
      </c>
      <c r="AL2224">
        <v>-83.952669999999998</v>
      </c>
      <c r="AM2224">
        <v>25</v>
      </c>
      <c r="AN2224">
        <v>1100</v>
      </c>
      <c r="AO2224" t="s">
        <v>118</v>
      </c>
      <c r="AP2224">
        <v>15</v>
      </c>
      <c r="AQ2224">
        <v>-87</v>
      </c>
      <c r="AR2224">
        <v>-256</v>
      </c>
      <c r="AZ2224">
        <v>300</v>
      </c>
      <c r="BA2224">
        <v>1</v>
      </c>
      <c r="BB2224" t="str">
        <f t="shared" si="110"/>
        <v xml:space="preserve">N162AM  </v>
      </c>
      <c r="BC2224">
        <v>1</v>
      </c>
      <c r="BE2224">
        <v>0</v>
      </c>
      <c r="BF2224">
        <v>0</v>
      </c>
      <c r="BG2224">
        <v>0</v>
      </c>
      <c r="BH2224">
        <v>1350</v>
      </c>
      <c r="BI2224">
        <v>1</v>
      </c>
      <c r="BJ2224">
        <v>1</v>
      </c>
      <c r="BK2224">
        <v>1</v>
      </c>
      <c r="BL2224">
        <v>0</v>
      </c>
      <c r="BO2224">
        <v>0</v>
      </c>
      <c r="BP2224">
        <v>0</v>
      </c>
      <c r="BW2224" t="str">
        <f>"14:54:12.458"</f>
        <v>14:54:12.458</v>
      </c>
      <c r="CJ2224">
        <v>2</v>
      </c>
      <c r="CK2224">
        <v>2</v>
      </c>
      <c r="CL2224">
        <v>0</v>
      </c>
      <c r="CM2224">
        <v>2</v>
      </c>
      <c r="CN2224">
        <v>0</v>
      </c>
      <c r="CO2224">
        <v>6</v>
      </c>
      <c r="CP2224" t="s">
        <v>119</v>
      </c>
      <c r="CQ2224">
        <v>232</v>
      </c>
      <c r="CR2224">
        <v>1</v>
      </c>
      <c r="CW2224">
        <v>15873144</v>
      </c>
      <c r="CY2224">
        <v>1</v>
      </c>
      <c r="CZ2224">
        <v>0</v>
      </c>
      <c r="DA2224">
        <v>1</v>
      </c>
      <c r="DB2224">
        <v>0</v>
      </c>
      <c r="DC2224">
        <v>0</v>
      </c>
      <c r="DD2224">
        <v>1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3">
      <c r="A2225" t="str">
        <f>"12/16/2021 14:54:12.759"</f>
        <v>12/16/2021 14:54:12.759</v>
      </c>
      <c r="C2225" t="str">
        <f t="shared" si="109"/>
        <v>FFDFD3C0</v>
      </c>
      <c r="D2225" t="s">
        <v>113</v>
      </c>
      <c r="E2225">
        <v>8</v>
      </c>
      <c r="H2225">
        <v>176</v>
      </c>
      <c r="I2225" t="s">
        <v>114</v>
      </c>
      <c r="J2225" t="s">
        <v>115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>"14:54:12.453"</f>
        <v>14:54:12.453</v>
      </c>
      <c r="T2225" t="str">
        <f>"14:54:11.953"</f>
        <v>14:54:11.953</v>
      </c>
      <c r="U2225" t="str">
        <f t="shared" si="108"/>
        <v>A0F928</v>
      </c>
      <c r="V2225">
        <v>0</v>
      </c>
      <c r="W2225">
        <v>0</v>
      </c>
      <c r="X2225">
        <v>2</v>
      </c>
      <c r="Z2225">
        <v>0</v>
      </c>
      <c r="AA2225">
        <v>9</v>
      </c>
      <c r="AB2225">
        <v>3</v>
      </c>
      <c r="AC2225">
        <v>0</v>
      </c>
      <c r="AD2225">
        <v>10</v>
      </c>
      <c r="AE2225">
        <v>0</v>
      </c>
      <c r="AF2225">
        <v>3</v>
      </c>
      <c r="AG2225">
        <v>2</v>
      </c>
      <c r="AH2225">
        <v>1</v>
      </c>
      <c r="AI2225" t="s">
        <v>1151</v>
      </c>
      <c r="AJ2225">
        <v>35.841458000000003</v>
      </c>
      <c r="AK2225" t="s">
        <v>1152</v>
      </c>
      <c r="AL2225">
        <v>-83.952669999999998</v>
      </c>
      <c r="AM2225">
        <v>25</v>
      </c>
      <c r="AN2225">
        <v>1100</v>
      </c>
      <c r="AO2225" t="s">
        <v>118</v>
      </c>
      <c r="AP2225">
        <v>15</v>
      </c>
      <c r="AQ2225">
        <v>-87</v>
      </c>
      <c r="AR2225">
        <v>-256</v>
      </c>
      <c r="AZ2225">
        <v>300</v>
      </c>
      <c r="BA2225">
        <v>1</v>
      </c>
      <c r="BB2225" t="str">
        <f t="shared" si="110"/>
        <v xml:space="preserve">N162AM  </v>
      </c>
      <c r="BC2225">
        <v>1</v>
      </c>
      <c r="BE2225">
        <v>0</v>
      </c>
      <c r="BF2225">
        <v>0</v>
      </c>
      <c r="BG2225">
        <v>0</v>
      </c>
      <c r="BH2225">
        <v>1350</v>
      </c>
      <c r="BI2225">
        <v>1</v>
      </c>
      <c r="BJ2225">
        <v>1</v>
      </c>
      <c r="BK2225">
        <v>1</v>
      </c>
      <c r="BL2225">
        <v>0</v>
      </c>
      <c r="BO2225">
        <v>0</v>
      </c>
      <c r="BP2225">
        <v>0</v>
      </c>
      <c r="BW2225" t="str">
        <f>"14:54:12.458"</f>
        <v>14:54:12.458</v>
      </c>
      <c r="CJ2225">
        <v>3</v>
      </c>
      <c r="CK2225">
        <v>2</v>
      </c>
      <c r="CL2225">
        <v>0</v>
      </c>
      <c r="CM2225">
        <v>2</v>
      </c>
      <c r="CN2225">
        <v>0</v>
      </c>
      <c r="CO2225">
        <v>6</v>
      </c>
      <c r="CP2225" t="s">
        <v>119</v>
      </c>
      <c r="CQ2225">
        <v>232</v>
      </c>
      <c r="CR2225">
        <v>1</v>
      </c>
      <c r="CW2225">
        <v>15873144</v>
      </c>
      <c r="CY2225">
        <v>1</v>
      </c>
      <c r="CZ2225">
        <v>0</v>
      </c>
      <c r="DA2225">
        <v>1</v>
      </c>
      <c r="DB2225">
        <v>0</v>
      </c>
      <c r="DC2225">
        <v>0</v>
      </c>
      <c r="DD2225">
        <v>1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3">
      <c r="A2226" t="str">
        <f>"12/16/2021 14:54:14.040"</f>
        <v>12/16/2021 14:54:14.040</v>
      </c>
      <c r="C2226" t="str">
        <f t="shared" si="109"/>
        <v>FFDFD3C0</v>
      </c>
      <c r="D2226" t="s">
        <v>113</v>
      </c>
      <c r="E2226">
        <v>8</v>
      </c>
      <c r="H2226">
        <v>176</v>
      </c>
      <c r="I2226" t="s">
        <v>114</v>
      </c>
      <c r="J2226" t="s">
        <v>115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>"14:54:13.828"</f>
        <v>14:54:13.828</v>
      </c>
      <c r="T2226" t="str">
        <f>"14:54:12.928"</f>
        <v>14:54:12.928</v>
      </c>
      <c r="U2226" t="str">
        <f t="shared" si="108"/>
        <v>A0F928</v>
      </c>
      <c r="V2226">
        <v>0</v>
      </c>
      <c r="W2226">
        <v>0</v>
      </c>
      <c r="X2226">
        <v>2</v>
      </c>
      <c r="Z2226">
        <v>0</v>
      </c>
      <c r="AA2226">
        <v>9</v>
      </c>
      <c r="AB2226">
        <v>3</v>
      </c>
      <c r="AC2226">
        <v>0</v>
      </c>
      <c r="AD2226">
        <v>10</v>
      </c>
      <c r="AE2226">
        <v>0</v>
      </c>
      <c r="AF2226">
        <v>3</v>
      </c>
      <c r="AG2226">
        <v>2</v>
      </c>
      <c r="AH2226">
        <v>1</v>
      </c>
      <c r="AI2226" t="s">
        <v>1153</v>
      </c>
      <c r="AJ2226">
        <v>35.840877999999996</v>
      </c>
      <c r="AK2226" t="s">
        <v>1154</v>
      </c>
      <c r="AL2226">
        <v>-83.952606000000003</v>
      </c>
      <c r="AM2226">
        <v>25</v>
      </c>
      <c r="AN2226">
        <v>1075</v>
      </c>
      <c r="AO2226" t="s">
        <v>118</v>
      </c>
      <c r="AP2226">
        <v>7</v>
      </c>
      <c r="AQ2226">
        <v>-88</v>
      </c>
      <c r="AR2226">
        <v>-320</v>
      </c>
      <c r="AZ2226">
        <v>300</v>
      </c>
      <c r="BA2226">
        <v>1</v>
      </c>
      <c r="BB2226" t="str">
        <f t="shared" si="110"/>
        <v xml:space="preserve">N162AM  </v>
      </c>
      <c r="BC2226">
        <v>1</v>
      </c>
      <c r="BE2226">
        <v>0</v>
      </c>
      <c r="BF2226">
        <v>0</v>
      </c>
      <c r="BG2226">
        <v>0</v>
      </c>
      <c r="BH2226">
        <v>1350</v>
      </c>
      <c r="BI2226">
        <v>1</v>
      </c>
      <c r="BJ2226">
        <v>1</v>
      </c>
      <c r="BK2226">
        <v>1</v>
      </c>
      <c r="BL2226">
        <v>0</v>
      </c>
      <c r="BO2226">
        <v>0</v>
      </c>
      <c r="BP2226">
        <v>0</v>
      </c>
      <c r="BW2226" t="str">
        <f>"14:54:13.832"</f>
        <v>14:54:13.832</v>
      </c>
      <c r="CJ2226">
        <v>3</v>
      </c>
      <c r="CK2226">
        <v>2</v>
      </c>
      <c r="CL2226">
        <v>0</v>
      </c>
      <c r="CM2226">
        <v>2</v>
      </c>
      <c r="CN2226">
        <v>0</v>
      </c>
      <c r="CO2226">
        <v>6</v>
      </c>
      <c r="CP2226" t="s">
        <v>119</v>
      </c>
      <c r="CQ2226">
        <v>232</v>
      </c>
      <c r="CR2226">
        <v>1</v>
      </c>
      <c r="CW2226">
        <v>15875247</v>
      </c>
      <c r="CY2226">
        <v>1</v>
      </c>
      <c r="CZ2226">
        <v>0</v>
      </c>
      <c r="DA2226">
        <v>0</v>
      </c>
      <c r="DB2226">
        <v>0</v>
      </c>
      <c r="DC2226">
        <v>0</v>
      </c>
      <c r="DD2226">
        <v>1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3">
      <c r="A2227" t="str">
        <f>"12/16/2021 14:54:14.056"</f>
        <v>12/16/2021 14:54:14.056</v>
      </c>
      <c r="C2227" t="str">
        <f t="shared" si="109"/>
        <v>FFDFD3C0</v>
      </c>
      <c r="D2227" t="s">
        <v>124</v>
      </c>
      <c r="E2227">
        <v>5</v>
      </c>
      <c r="F2227">
        <v>1005</v>
      </c>
      <c r="G2227" t="s">
        <v>114</v>
      </c>
      <c r="J2227" t="s">
        <v>125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>"14:54:13.828"</f>
        <v>14:54:13.828</v>
      </c>
      <c r="T2227" t="str">
        <f>"14:54:12.928"</f>
        <v>14:54:12.928</v>
      </c>
      <c r="U2227" t="str">
        <f t="shared" si="108"/>
        <v>A0F928</v>
      </c>
      <c r="V2227">
        <v>0</v>
      </c>
      <c r="W2227">
        <v>0</v>
      </c>
      <c r="X2227">
        <v>2</v>
      </c>
      <c r="Z2227">
        <v>0</v>
      </c>
      <c r="AA2227">
        <v>9</v>
      </c>
      <c r="AB2227">
        <v>3</v>
      </c>
      <c r="AC2227">
        <v>0</v>
      </c>
      <c r="AD2227">
        <v>10</v>
      </c>
      <c r="AE2227">
        <v>0</v>
      </c>
      <c r="AF2227">
        <v>3</v>
      </c>
      <c r="AG2227">
        <v>2</v>
      </c>
      <c r="AH2227">
        <v>1</v>
      </c>
      <c r="AI2227" t="s">
        <v>1153</v>
      </c>
      <c r="AJ2227">
        <v>35.840877999999996</v>
      </c>
      <c r="AK2227" t="s">
        <v>1154</v>
      </c>
      <c r="AL2227">
        <v>-83.952606000000003</v>
      </c>
      <c r="AM2227">
        <v>25</v>
      </c>
      <c r="AN2227">
        <v>1075</v>
      </c>
      <c r="AO2227" t="s">
        <v>118</v>
      </c>
      <c r="AP2227">
        <v>7</v>
      </c>
      <c r="AQ2227">
        <v>-88</v>
      </c>
      <c r="AR2227">
        <v>-320</v>
      </c>
      <c r="AZ2227">
        <v>300</v>
      </c>
      <c r="BA2227">
        <v>1</v>
      </c>
      <c r="BB2227" t="str">
        <f t="shared" si="110"/>
        <v xml:space="preserve">N162AM  </v>
      </c>
      <c r="BC2227">
        <v>1</v>
      </c>
      <c r="BE2227">
        <v>0</v>
      </c>
      <c r="BF2227">
        <v>0</v>
      </c>
      <c r="BG2227">
        <v>0</v>
      </c>
      <c r="BH2227">
        <v>1350</v>
      </c>
      <c r="BI2227">
        <v>1</v>
      </c>
      <c r="BJ2227">
        <v>1</v>
      </c>
      <c r="BK2227">
        <v>1</v>
      </c>
      <c r="BL2227">
        <v>0</v>
      </c>
      <c r="BO2227">
        <v>0</v>
      </c>
      <c r="BP2227">
        <v>0</v>
      </c>
      <c r="BW2227" t="str">
        <f>"14:54:13.832"</f>
        <v>14:54:13.832</v>
      </c>
      <c r="CJ2227">
        <v>3</v>
      </c>
      <c r="CK2227">
        <v>2</v>
      </c>
      <c r="CL2227">
        <v>0</v>
      </c>
      <c r="CM2227">
        <v>2</v>
      </c>
      <c r="CN2227">
        <v>0</v>
      </c>
      <c r="CO2227">
        <v>6</v>
      </c>
      <c r="CP2227" t="s">
        <v>119</v>
      </c>
      <c r="CQ2227">
        <v>232</v>
      </c>
      <c r="CR2227">
        <v>1</v>
      </c>
      <c r="CW2227">
        <v>15875247</v>
      </c>
      <c r="CY2227">
        <v>1</v>
      </c>
      <c r="CZ2227">
        <v>0</v>
      </c>
      <c r="DA2227">
        <v>1</v>
      </c>
      <c r="DB2227">
        <v>0</v>
      </c>
      <c r="DC2227">
        <v>0</v>
      </c>
      <c r="DD2227">
        <v>1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3">
      <c r="A2228" t="str">
        <f>"12/16/2021 14:54:14.102"</f>
        <v>12/16/2021 14:54:14.102</v>
      </c>
      <c r="C2228" t="str">
        <f t="shared" si="109"/>
        <v>FFDFD3C0</v>
      </c>
      <c r="D2228" t="s">
        <v>133</v>
      </c>
      <c r="E2228">
        <v>44</v>
      </c>
      <c r="H2228">
        <v>131</v>
      </c>
      <c r="I2228" t="s">
        <v>134</v>
      </c>
      <c r="J2228" t="s">
        <v>135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>"14:54:13.828"</f>
        <v>14:54:13.828</v>
      </c>
      <c r="T2228" t="str">
        <f>"14:54:12.928"</f>
        <v>14:54:12.928</v>
      </c>
      <c r="U2228" t="str">
        <f t="shared" si="108"/>
        <v>A0F928</v>
      </c>
      <c r="V2228">
        <v>0</v>
      </c>
      <c r="W2228">
        <v>0</v>
      </c>
      <c r="X2228">
        <v>2</v>
      </c>
      <c r="Z2228">
        <v>0</v>
      </c>
      <c r="AA2228">
        <v>9</v>
      </c>
      <c r="AB2228">
        <v>3</v>
      </c>
      <c r="AC2228">
        <v>0</v>
      </c>
      <c r="AD2228">
        <v>10</v>
      </c>
      <c r="AE2228">
        <v>0</v>
      </c>
      <c r="AF2228">
        <v>3</v>
      </c>
      <c r="AG2228">
        <v>2</v>
      </c>
      <c r="AH2228">
        <v>1</v>
      </c>
      <c r="AI2228" t="s">
        <v>1153</v>
      </c>
      <c r="AJ2228">
        <v>35.840877999999996</v>
      </c>
      <c r="AK2228" t="s">
        <v>1154</v>
      </c>
      <c r="AL2228">
        <v>-83.952606000000003</v>
      </c>
      <c r="AM2228">
        <v>25</v>
      </c>
      <c r="AN2228">
        <v>1075</v>
      </c>
      <c r="AO2228" t="s">
        <v>118</v>
      </c>
      <c r="AP2228">
        <v>7</v>
      </c>
      <c r="AQ2228">
        <v>-88</v>
      </c>
      <c r="AR2228">
        <v>-320</v>
      </c>
      <c r="AZ2228">
        <v>300</v>
      </c>
      <c r="BA2228">
        <v>1</v>
      </c>
      <c r="BB2228" t="str">
        <f t="shared" si="110"/>
        <v xml:space="preserve">N162AM  </v>
      </c>
      <c r="BC2228">
        <v>1</v>
      </c>
      <c r="BE2228">
        <v>0</v>
      </c>
      <c r="BF2228">
        <v>0</v>
      </c>
      <c r="BG2228">
        <v>0</v>
      </c>
      <c r="BH2228">
        <v>1350</v>
      </c>
      <c r="BI2228">
        <v>1</v>
      </c>
      <c r="BJ2228">
        <v>1</v>
      </c>
      <c r="BK2228">
        <v>1</v>
      </c>
      <c r="BL2228">
        <v>0</v>
      </c>
      <c r="BO2228">
        <v>0</v>
      </c>
      <c r="BP2228">
        <v>0</v>
      </c>
      <c r="BW2228" t="str">
        <f>"14:54:13.832"</f>
        <v>14:54:13.832</v>
      </c>
      <c r="CJ2228">
        <v>3</v>
      </c>
      <c r="CK2228">
        <v>2</v>
      </c>
      <c r="CL2228">
        <v>0</v>
      </c>
      <c r="CM2228">
        <v>2</v>
      </c>
      <c r="CN2228">
        <v>0</v>
      </c>
      <c r="CO2228">
        <v>6</v>
      </c>
      <c r="CP2228" t="s">
        <v>119</v>
      </c>
      <c r="CQ2228">
        <v>232</v>
      </c>
      <c r="CR2228">
        <v>1</v>
      </c>
      <c r="CW2228">
        <v>15875247</v>
      </c>
      <c r="CY2228">
        <v>1</v>
      </c>
      <c r="CZ2228">
        <v>0</v>
      </c>
      <c r="DA2228">
        <v>1</v>
      </c>
      <c r="DB2228">
        <v>0</v>
      </c>
      <c r="DC2228">
        <v>0</v>
      </c>
      <c r="DD2228">
        <v>1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3">
      <c r="A2229" t="str">
        <f>"12/16/2021 14:54:14.102"</f>
        <v>12/16/2021 14:54:14.102</v>
      </c>
      <c r="C2229" t="str">
        <f t="shared" si="109"/>
        <v>FFDFD3C0</v>
      </c>
      <c r="D2229" t="s">
        <v>124</v>
      </c>
      <c r="E2229">
        <v>10</v>
      </c>
      <c r="F2229">
        <v>1010</v>
      </c>
      <c r="G2229" t="s">
        <v>130</v>
      </c>
      <c r="J2229" t="s">
        <v>125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>"14:54:13.828"</f>
        <v>14:54:13.828</v>
      </c>
      <c r="T2229" t="str">
        <f>"14:54:12.928"</f>
        <v>14:54:12.928</v>
      </c>
      <c r="U2229" t="str">
        <f t="shared" si="108"/>
        <v>A0F928</v>
      </c>
      <c r="V2229">
        <v>0</v>
      </c>
      <c r="W2229">
        <v>0</v>
      </c>
      <c r="X2229">
        <v>2</v>
      </c>
      <c r="Z2229">
        <v>0</v>
      </c>
      <c r="AA2229">
        <v>9</v>
      </c>
      <c r="AB2229">
        <v>3</v>
      </c>
      <c r="AC2229">
        <v>0</v>
      </c>
      <c r="AD2229">
        <v>10</v>
      </c>
      <c r="AE2229">
        <v>0</v>
      </c>
      <c r="AF2229">
        <v>0</v>
      </c>
      <c r="AG2229">
        <v>2</v>
      </c>
      <c r="AH2229">
        <v>1</v>
      </c>
      <c r="AI2229" t="s">
        <v>1153</v>
      </c>
      <c r="AJ2229">
        <v>35.840877999999996</v>
      </c>
      <c r="AK2229" t="s">
        <v>1154</v>
      </c>
      <c r="AL2229">
        <v>-83.952606000000003</v>
      </c>
      <c r="AM2229">
        <v>25</v>
      </c>
      <c r="AN2229">
        <v>1075</v>
      </c>
      <c r="AO2229" t="s">
        <v>118</v>
      </c>
      <c r="AP2229">
        <v>7</v>
      </c>
      <c r="AQ2229">
        <v>-88</v>
      </c>
      <c r="AR2229">
        <v>-320</v>
      </c>
      <c r="AZ2229">
        <v>300</v>
      </c>
      <c r="BA2229">
        <v>1</v>
      </c>
      <c r="BB2229" t="str">
        <f t="shared" si="110"/>
        <v xml:space="preserve">N162AM  </v>
      </c>
      <c r="BC2229">
        <v>1</v>
      </c>
      <c r="BE2229">
        <v>0</v>
      </c>
      <c r="BF2229">
        <v>0</v>
      </c>
      <c r="BG2229">
        <v>0</v>
      </c>
      <c r="BH2229">
        <v>1350</v>
      </c>
      <c r="BI2229">
        <v>1</v>
      </c>
      <c r="BJ2229">
        <v>1</v>
      </c>
      <c r="BK2229">
        <v>1</v>
      </c>
      <c r="BL2229">
        <v>0</v>
      </c>
      <c r="BO2229">
        <v>0</v>
      </c>
      <c r="BP2229">
        <v>0</v>
      </c>
      <c r="BW2229" t="str">
        <f>"14:54:13.832"</f>
        <v>14:54:13.832</v>
      </c>
      <c r="CJ2229">
        <v>2</v>
      </c>
      <c r="CK2229">
        <v>2</v>
      </c>
      <c r="CL2229">
        <v>0</v>
      </c>
      <c r="CM2229">
        <v>2</v>
      </c>
      <c r="CN2229">
        <v>0</v>
      </c>
      <c r="CO2229">
        <v>6</v>
      </c>
      <c r="CP2229" t="s">
        <v>119</v>
      </c>
      <c r="CQ2229">
        <v>232</v>
      </c>
      <c r="CR2229">
        <v>1</v>
      </c>
      <c r="CW2229">
        <v>15875247</v>
      </c>
      <c r="CY2229">
        <v>1</v>
      </c>
      <c r="CZ2229">
        <v>0</v>
      </c>
      <c r="DA2229">
        <v>1</v>
      </c>
      <c r="DB2229">
        <v>0</v>
      </c>
      <c r="DC2229">
        <v>0</v>
      </c>
      <c r="DD2229">
        <v>1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3">
      <c r="A2230" t="str">
        <f>"12/16/2021 14:54:15.446"</f>
        <v>12/16/2021 14:54:15.446</v>
      </c>
      <c r="C2230" t="str">
        <f t="shared" si="109"/>
        <v>FFDFD3C0</v>
      </c>
      <c r="D2230" t="s">
        <v>124</v>
      </c>
      <c r="E2230">
        <v>10</v>
      </c>
      <c r="F2230">
        <v>1010</v>
      </c>
      <c r="G2230" t="s">
        <v>130</v>
      </c>
      <c r="J2230" t="s">
        <v>125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>"14:54:15.211"</f>
        <v>14:54:15.211</v>
      </c>
      <c r="T2230" t="str">
        <f>"14:54:14.811"</f>
        <v>14:54:14.811</v>
      </c>
      <c r="U2230" t="str">
        <f t="shared" si="108"/>
        <v>A0F928</v>
      </c>
      <c r="V2230">
        <v>0</v>
      </c>
      <c r="W2230">
        <v>0</v>
      </c>
      <c r="X2230">
        <v>2</v>
      </c>
      <c r="Z2230">
        <v>0</v>
      </c>
      <c r="AA2230">
        <v>9</v>
      </c>
      <c r="AB2230">
        <v>3</v>
      </c>
      <c r="AC2230">
        <v>0</v>
      </c>
      <c r="AD2230">
        <v>10</v>
      </c>
      <c r="AE2230">
        <v>0</v>
      </c>
      <c r="AF2230">
        <v>0</v>
      </c>
      <c r="AG2230">
        <v>2</v>
      </c>
      <c r="AH2230">
        <v>1</v>
      </c>
      <c r="AI2230" t="s">
        <v>1155</v>
      </c>
      <c r="AJ2230">
        <v>35.840342</v>
      </c>
      <c r="AK2230" t="s">
        <v>1156</v>
      </c>
      <c r="AL2230">
        <v>-83.952648999999994</v>
      </c>
      <c r="AM2230">
        <v>25</v>
      </c>
      <c r="AN2230">
        <v>1075</v>
      </c>
      <c r="AO2230" t="s">
        <v>118</v>
      </c>
      <c r="AP2230">
        <v>-6</v>
      </c>
      <c r="AQ2230">
        <v>-88</v>
      </c>
      <c r="AR2230">
        <v>-576</v>
      </c>
      <c r="AZ2230">
        <v>300</v>
      </c>
      <c r="BA2230">
        <v>1</v>
      </c>
      <c r="BB2230" t="str">
        <f t="shared" si="110"/>
        <v xml:space="preserve">N162AM  </v>
      </c>
      <c r="BC2230">
        <v>1</v>
      </c>
      <c r="BE2230">
        <v>0</v>
      </c>
      <c r="BF2230">
        <v>0</v>
      </c>
      <c r="BG2230">
        <v>0</v>
      </c>
      <c r="BH2230">
        <v>1325</v>
      </c>
      <c r="BI2230">
        <v>1</v>
      </c>
      <c r="BJ2230">
        <v>1</v>
      </c>
      <c r="BK2230">
        <v>1</v>
      </c>
      <c r="BL2230">
        <v>0</v>
      </c>
      <c r="BO2230">
        <v>0</v>
      </c>
      <c r="BP2230">
        <v>0</v>
      </c>
      <c r="BW2230" t="str">
        <f>"14:54:15.217"</f>
        <v>14:54:15.217</v>
      </c>
      <c r="CJ2230">
        <v>2</v>
      </c>
      <c r="CK2230">
        <v>2</v>
      </c>
      <c r="CL2230">
        <v>0</v>
      </c>
      <c r="CM2230">
        <v>2</v>
      </c>
      <c r="CN2230">
        <v>0</v>
      </c>
      <c r="CO2230">
        <v>5</v>
      </c>
      <c r="CP2230" t="s">
        <v>119</v>
      </c>
      <c r="CQ2230">
        <v>232</v>
      </c>
      <c r="CR2230">
        <v>2</v>
      </c>
      <c r="CW2230">
        <v>7100188</v>
      </c>
      <c r="CY2230">
        <v>1</v>
      </c>
      <c r="CZ2230">
        <v>0</v>
      </c>
      <c r="DA2230">
        <v>0</v>
      </c>
      <c r="DB2230">
        <v>0</v>
      </c>
      <c r="DC2230">
        <v>0</v>
      </c>
      <c r="DD2230">
        <v>1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3">
      <c r="A2231" t="str">
        <f>"12/16/2021 14:54:15.446"</f>
        <v>12/16/2021 14:54:15.446</v>
      </c>
      <c r="C2231" t="str">
        <f t="shared" si="109"/>
        <v>FFDFD3C0</v>
      </c>
      <c r="D2231" t="s">
        <v>133</v>
      </c>
      <c r="E2231">
        <v>44</v>
      </c>
      <c r="H2231">
        <v>131</v>
      </c>
      <c r="I2231" t="s">
        <v>134</v>
      </c>
      <c r="J2231" t="s">
        <v>135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>"14:54:15.211"</f>
        <v>14:54:15.211</v>
      </c>
      <c r="T2231" t="str">
        <f>"14:54:14.811"</f>
        <v>14:54:14.811</v>
      </c>
      <c r="U2231" t="str">
        <f t="shared" si="108"/>
        <v>A0F928</v>
      </c>
      <c r="V2231">
        <v>0</v>
      </c>
      <c r="W2231">
        <v>0</v>
      </c>
      <c r="X2231">
        <v>2</v>
      </c>
      <c r="Z2231">
        <v>0</v>
      </c>
      <c r="AA2231">
        <v>9</v>
      </c>
      <c r="AB2231">
        <v>3</v>
      </c>
      <c r="AC2231">
        <v>0</v>
      </c>
      <c r="AD2231">
        <v>10</v>
      </c>
      <c r="AE2231">
        <v>0</v>
      </c>
      <c r="AF2231">
        <v>3</v>
      </c>
      <c r="AG2231">
        <v>2</v>
      </c>
      <c r="AH2231">
        <v>1</v>
      </c>
      <c r="AI2231" t="s">
        <v>1155</v>
      </c>
      <c r="AJ2231">
        <v>35.840342</v>
      </c>
      <c r="AK2231" t="s">
        <v>1156</v>
      </c>
      <c r="AL2231">
        <v>-83.952648999999994</v>
      </c>
      <c r="AM2231">
        <v>25</v>
      </c>
      <c r="AN2231">
        <v>1075</v>
      </c>
      <c r="AO2231" t="s">
        <v>118</v>
      </c>
      <c r="AP2231">
        <v>-6</v>
      </c>
      <c r="AQ2231">
        <v>-88</v>
      </c>
      <c r="AR2231">
        <v>-576</v>
      </c>
      <c r="AZ2231">
        <v>300</v>
      </c>
      <c r="BA2231">
        <v>1</v>
      </c>
      <c r="BB2231" t="str">
        <f t="shared" si="110"/>
        <v xml:space="preserve">N162AM  </v>
      </c>
      <c r="BC2231">
        <v>1</v>
      </c>
      <c r="BE2231">
        <v>0</v>
      </c>
      <c r="BF2231">
        <v>0</v>
      </c>
      <c r="BG2231">
        <v>0</v>
      </c>
      <c r="BH2231">
        <v>1325</v>
      </c>
      <c r="BI2231">
        <v>1</v>
      </c>
      <c r="BJ2231">
        <v>1</v>
      </c>
      <c r="BK2231">
        <v>1</v>
      </c>
      <c r="BL2231">
        <v>0</v>
      </c>
      <c r="BO2231">
        <v>0</v>
      </c>
      <c r="BP2231">
        <v>0</v>
      </c>
      <c r="BW2231" t="str">
        <f>"14:54:15.217"</f>
        <v>14:54:15.217</v>
      </c>
      <c r="CJ2231">
        <v>3</v>
      </c>
      <c r="CK2231">
        <v>2</v>
      </c>
      <c r="CL2231">
        <v>0</v>
      </c>
      <c r="CM2231">
        <v>2</v>
      </c>
      <c r="CN2231">
        <v>0</v>
      </c>
      <c r="CO2231">
        <v>5</v>
      </c>
      <c r="CP2231" t="s">
        <v>119</v>
      </c>
      <c r="CQ2231">
        <v>232</v>
      </c>
      <c r="CR2231">
        <v>2</v>
      </c>
      <c r="CW2231">
        <v>7100188</v>
      </c>
      <c r="CY2231">
        <v>1</v>
      </c>
      <c r="CZ2231">
        <v>0</v>
      </c>
      <c r="DA2231">
        <v>1</v>
      </c>
      <c r="DB2231">
        <v>0</v>
      </c>
      <c r="DC2231">
        <v>0</v>
      </c>
      <c r="DD2231">
        <v>1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3">
      <c r="A2232" t="str">
        <f>"12/16/2021 14:54:15.524"</f>
        <v>12/16/2021 14:54:15.524</v>
      </c>
      <c r="C2232" t="str">
        <f t="shared" si="109"/>
        <v>FFDFD3C0</v>
      </c>
      <c r="D2232" t="s">
        <v>113</v>
      </c>
      <c r="E2232">
        <v>8</v>
      </c>
      <c r="H2232">
        <v>176</v>
      </c>
      <c r="I2232" t="s">
        <v>114</v>
      </c>
      <c r="J2232" t="s">
        <v>115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>"14:54:15.211"</f>
        <v>14:54:15.211</v>
      </c>
      <c r="T2232" t="str">
        <f>"14:54:14.811"</f>
        <v>14:54:14.811</v>
      </c>
      <c r="U2232" t="str">
        <f t="shared" si="108"/>
        <v>A0F928</v>
      </c>
      <c r="V2232">
        <v>0</v>
      </c>
      <c r="W2232">
        <v>0</v>
      </c>
      <c r="X2232">
        <v>2</v>
      </c>
      <c r="Z2232">
        <v>0</v>
      </c>
      <c r="AA2232">
        <v>9</v>
      </c>
      <c r="AB2232">
        <v>3</v>
      </c>
      <c r="AC2232">
        <v>0</v>
      </c>
      <c r="AD2232">
        <v>10</v>
      </c>
      <c r="AE2232">
        <v>0</v>
      </c>
      <c r="AF2232">
        <v>3</v>
      </c>
      <c r="AG2232">
        <v>2</v>
      </c>
      <c r="AH2232">
        <v>1</v>
      </c>
      <c r="AI2232" t="s">
        <v>1155</v>
      </c>
      <c r="AJ2232">
        <v>35.840342</v>
      </c>
      <c r="AK2232" t="s">
        <v>1156</v>
      </c>
      <c r="AL2232">
        <v>-83.952648999999994</v>
      </c>
      <c r="AM2232">
        <v>25</v>
      </c>
      <c r="AN2232">
        <v>1075</v>
      </c>
      <c r="AO2232" t="s">
        <v>118</v>
      </c>
      <c r="AP2232">
        <v>-6</v>
      </c>
      <c r="AQ2232">
        <v>-88</v>
      </c>
      <c r="AR2232">
        <v>-576</v>
      </c>
      <c r="AZ2232">
        <v>300</v>
      </c>
      <c r="BA2232">
        <v>1</v>
      </c>
      <c r="BB2232" t="str">
        <f t="shared" si="110"/>
        <v xml:space="preserve">N162AM  </v>
      </c>
      <c r="BC2232">
        <v>1</v>
      </c>
      <c r="BE2232">
        <v>0</v>
      </c>
      <c r="BF2232">
        <v>0</v>
      </c>
      <c r="BG2232">
        <v>0</v>
      </c>
      <c r="BH2232">
        <v>1325</v>
      </c>
      <c r="BI2232">
        <v>1</v>
      </c>
      <c r="BJ2232">
        <v>1</v>
      </c>
      <c r="BK2232">
        <v>1</v>
      </c>
      <c r="BL2232">
        <v>0</v>
      </c>
      <c r="BO2232">
        <v>0</v>
      </c>
      <c r="BP2232">
        <v>0</v>
      </c>
      <c r="BW2232" t="str">
        <f>"14:54:15.217"</f>
        <v>14:54:15.217</v>
      </c>
      <c r="CJ2232">
        <v>3</v>
      </c>
      <c r="CK2232">
        <v>2</v>
      </c>
      <c r="CL2232">
        <v>0</v>
      </c>
      <c r="CM2232">
        <v>2</v>
      </c>
      <c r="CN2232">
        <v>0</v>
      </c>
      <c r="CO2232">
        <v>5</v>
      </c>
      <c r="CP2232" t="s">
        <v>119</v>
      </c>
      <c r="CQ2232">
        <v>232</v>
      </c>
      <c r="CR2232">
        <v>2</v>
      </c>
      <c r="CW2232">
        <v>7100188</v>
      </c>
      <c r="CY2232">
        <v>1</v>
      </c>
      <c r="CZ2232">
        <v>0</v>
      </c>
      <c r="DA2232">
        <v>1</v>
      </c>
      <c r="DB2232">
        <v>0</v>
      </c>
      <c r="DC2232">
        <v>0</v>
      </c>
      <c r="DD2232">
        <v>1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3">
      <c r="A2233" t="str">
        <f>"12/16/2021 14:54:15.524"</f>
        <v>12/16/2021 14:54:15.524</v>
      </c>
      <c r="C2233" t="str">
        <f t="shared" si="109"/>
        <v>FFDFD3C0</v>
      </c>
      <c r="D2233" t="s">
        <v>124</v>
      </c>
      <c r="E2233">
        <v>5</v>
      </c>
      <c r="F2233">
        <v>1005</v>
      </c>
      <c r="G2233" t="s">
        <v>114</v>
      </c>
      <c r="J2233" t="s">
        <v>125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>"14:54:15.211"</f>
        <v>14:54:15.211</v>
      </c>
      <c r="T2233" t="str">
        <f>"14:54:14.811"</f>
        <v>14:54:14.811</v>
      </c>
      <c r="U2233" t="str">
        <f t="shared" si="108"/>
        <v>A0F928</v>
      </c>
      <c r="V2233">
        <v>0</v>
      </c>
      <c r="W2233">
        <v>0</v>
      </c>
      <c r="X2233">
        <v>2</v>
      </c>
      <c r="Z2233">
        <v>0</v>
      </c>
      <c r="AA2233">
        <v>9</v>
      </c>
      <c r="AB2233">
        <v>3</v>
      </c>
      <c r="AC2233">
        <v>0</v>
      </c>
      <c r="AD2233">
        <v>10</v>
      </c>
      <c r="AE2233">
        <v>0</v>
      </c>
      <c r="AF2233">
        <v>3</v>
      </c>
      <c r="AG2233">
        <v>2</v>
      </c>
      <c r="AH2233">
        <v>1</v>
      </c>
      <c r="AI2233" t="s">
        <v>1155</v>
      </c>
      <c r="AJ2233">
        <v>35.840342</v>
      </c>
      <c r="AK2233" t="s">
        <v>1156</v>
      </c>
      <c r="AL2233">
        <v>-83.952648999999994</v>
      </c>
      <c r="AM2233">
        <v>25</v>
      </c>
      <c r="AN2233">
        <v>1075</v>
      </c>
      <c r="AO2233" t="s">
        <v>118</v>
      </c>
      <c r="AP2233">
        <v>-6</v>
      </c>
      <c r="AQ2233">
        <v>-88</v>
      </c>
      <c r="AR2233">
        <v>-576</v>
      </c>
      <c r="AZ2233">
        <v>300</v>
      </c>
      <c r="BA2233">
        <v>1</v>
      </c>
      <c r="BB2233" t="str">
        <f t="shared" si="110"/>
        <v xml:space="preserve">N162AM  </v>
      </c>
      <c r="BC2233">
        <v>1</v>
      </c>
      <c r="BE2233">
        <v>0</v>
      </c>
      <c r="BF2233">
        <v>0</v>
      </c>
      <c r="BG2233">
        <v>0</v>
      </c>
      <c r="BH2233">
        <v>1325</v>
      </c>
      <c r="BI2233">
        <v>1</v>
      </c>
      <c r="BJ2233">
        <v>1</v>
      </c>
      <c r="BK2233">
        <v>1</v>
      </c>
      <c r="BL2233">
        <v>0</v>
      </c>
      <c r="BO2233">
        <v>0</v>
      </c>
      <c r="BP2233">
        <v>0</v>
      </c>
      <c r="BW2233" t="str">
        <f>"14:54:15.217"</f>
        <v>14:54:15.217</v>
      </c>
      <c r="CJ2233">
        <v>3</v>
      </c>
      <c r="CK2233">
        <v>2</v>
      </c>
      <c r="CL2233">
        <v>0</v>
      </c>
      <c r="CM2233">
        <v>2</v>
      </c>
      <c r="CN2233">
        <v>0</v>
      </c>
      <c r="CO2233">
        <v>5</v>
      </c>
      <c r="CP2233" t="s">
        <v>119</v>
      </c>
      <c r="CQ2233">
        <v>232</v>
      </c>
      <c r="CR2233">
        <v>2</v>
      </c>
      <c r="CW2233">
        <v>7100188</v>
      </c>
      <c r="CY2233">
        <v>1</v>
      </c>
      <c r="CZ2233">
        <v>0</v>
      </c>
      <c r="DA2233">
        <v>1</v>
      </c>
      <c r="DB2233">
        <v>0</v>
      </c>
      <c r="DC2233">
        <v>0</v>
      </c>
      <c r="DD2233">
        <v>1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3">
      <c r="A2234" t="str">
        <f>"12/16/2021 14:54:16.383"</f>
        <v>12/16/2021 14:54:16.383</v>
      </c>
      <c r="C2234" t="str">
        <f t="shared" si="109"/>
        <v>FFDFD3C0</v>
      </c>
      <c r="D2234" t="s">
        <v>124</v>
      </c>
      <c r="E2234">
        <v>10</v>
      </c>
      <c r="F2234">
        <v>1010</v>
      </c>
      <c r="G2234" t="s">
        <v>130</v>
      </c>
      <c r="J2234" t="s">
        <v>125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>"14:54:16.188"</f>
        <v>14:54:16.188</v>
      </c>
      <c r="T2234" t="str">
        <f>"14:54:15.688"</f>
        <v>14:54:15.688</v>
      </c>
      <c r="U2234" t="str">
        <f t="shared" si="108"/>
        <v>A0F928</v>
      </c>
      <c r="V2234">
        <v>0</v>
      </c>
      <c r="W2234">
        <v>0</v>
      </c>
      <c r="X2234">
        <v>2</v>
      </c>
      <c r="Z2234">
        <v>0</v>
      </c>
      <c r="AA2234">
        <v>9</v>
      </c>
      <c r="AB2234">
        <v>3</v>
      </c>
      <c r="AC2234">
        <v>0</v>
      </c>
      <c r="AD2234">
        <v>10</v>
      </c>
      <c r="AE2234">
        <v>0</v>
      </c>
      <c r="AF2234">
        <v>0</v>
      </c>
      <c r="AG2234">
        <v>2</v>
      </c>
      <c r="AH2234">
        <v>1</v>
      </c>
      <c r="AI2234" t="s">
        <v>1157</v>
      </c>
      <c r="AJ2234">
        <v>35.839913000000003</v>
      </c>
      <c r="AK2234" t="s">
        <v>1158</v>
      </c>
      <c r="AL2234">
        <v>-83.952776999999998</v>
      </c>
      <c r="AM2234">
        <v>25</v>
      </c>
      <c r="AN2234">
        <v>1075</v>
      </c>
      <c r="AO2234" t="s">
        <v>118</v>
      </c>
      <c r="AP2234">
        <v>-12</v>
      </c>
      <c r="AQ2234">
        <v>-87</v>
      </c>
      <c r="AR2234">
        <v>-384</v>
      </c>
      <c r="AZ2234">
        <v>300</v>
      </c>
      <c r="BA2234">
        <v>1</v>
      </c>
      <c r="BB2234" t="str">
        <f t="shared" si="110"/>
        <v xml:space="preserve">N162AM  </v>
      </c>
      <c r="BC2234">
        <v>1</v>
      </c>
      <c r="BE2234">
        <v>0</v>
      </c>
      <c r="BF2234">
        <v>0</v>
      </c>
      <c r="BG2234">
        <v>0</v>
      </c>
      <c r="BH2234">
        <v>1300</v>
      </c>
      <c r="BI2234">
        <v>1</v>
      </c>
      <c r="BJ2234">
        <v>1</v>
      </c>
      <c r="BK2234">
        <v>1</v>
      </c>
      <c r="BL2234">
        <v>0</v>
      </c>
      <c r="BO2234">
        <v>0</v>
      </c>
      <c r="BP2234">
        <v>0</v>
      </c>
      <c r="BW2234" t="str">
        <f>"14:54:16.193"</f>
        <v>14:54:16.193</v>
      </c>
      <c r="CJ2234">
        <v>2</v>
      </c>
      <c r="CK2234">
        <v>2</v>
      </c>
      <c r="CL2234">
        <v>0</v>
      </c>
      <c r="CM2234">
        <v>2</v>
      </c>
      <c r="CN2234">
        <v>0</v>
      </c>
      <c r="CO2234">
        <v>5</v>
      </c>
      <c r="CP2234" t="s">
        <v>119</v>
      </c>
      <c r="CQ2234">
        <v>232</v>
      </c>
      <c r="CR2234">
        <v>2</v>
      </c>
      <c r="CW2234">
        <v>7101789</v>
      </c>
      <c r="CY2234">
        <v>1</v>
      </c>
      <c r="CZ2234">
        <v>0</v>
      </c>
      <c r="DA2234">
        <v>0</v>
      </c>
      <c r="DB2234">
        <v>0</v>
      </c>
      <c r="DC2234">
        <v>0</v>
      </c>
      <c r="DD2234">
        <v>1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3">
      <c r="A2235" t="str">
        <f>"12/16/2021 14:54:16.430"</f>
        <v>12/16/2021 14:54:16.430</v>
      </c>
      <c r="C2235" t="str">
        <f t="shared" si="109"/>
        <v>FFDFD3C0</v>
      </c>
      <c r="D2235" t="s">
        <v>133</v>
      </c>
      <c r="E2235">
        <v>44</v>
      </c>
      <c r="H2235">
        <v>131</v>
      </c>
      <c r="I2235" t="s">
        <v>134</v>
      </c>
      <c r="J2235" t="s">
        <v>135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>"14:54:16.188"</f>
        <v>14:54:16.188</v>
      </c>
      <c r="T2235" t="str">
        <f>"14:54:15.688"</f>
        <v>14:54:15.688</v>
      </c>
      <c r="U2235" t="str">
        <f t="shared" si="108"/>
        <v>A0F928</v>
      </c>
      <c r="V2235">
        <v>0</v>
      </c>
      <c r="W2235">
        <v>0</v>
      </c>
      <c r="X2235">
        <v>2</v>
      </c>
      <c r="Z2235">
        <v>0</v>
      </c>
      <c r="AA2235">
        <v>9</v>
      </c>
      <c r="AB2235">
        <v>3</v>
      </c>
      <c r="AC2235">
        <v>0</v>
      </c>
      <c r="AD2235">
        <v>10</v>
      </c>
      <c r="AE2235">
        <v>0</v>
      </c>
      <c r="AF2235">
        <v>3</v>
      </c>
      <c r="AG2235">
        <v>2</v>
      </c>
      <c r="AH2235">
        <v>1</v>
      </c>
      <c r="AI2235" t="s">
        <v>1157</v>
      </c>
      <c r="AJ2235">
        <v>35.839913000000003</v>
      </c>
      <c r="AK2235" t="s">
        <v>1158</v>
      </c>
      <c r="AL2235">
        <v>-83.952776999999998</v>
      </c>
      <c r="AM2235">
        <v>25</v>
      </c>
      <c r="AN2235">
        <v>1075</v>
      </c>
      <c r="AO2235" t="s">
        <v>118</v>
      </c>
      <c r="AP2235">
        <v>-12</v>
      </c>
      <c r="AQ2235">
        <v>-87</v>
      </c>
      <c r="AR2235">
        <v>-384</v>
      </c>
      <c r="AZ2235">
        <v>300</v>
      </c>
      <c r="BA2235">
        <v>1</v>
      </c>
      <c r="BB2235" t="str">
        <f t="shared" si="110"/>
        <v xml:space="preserve">N162AM  </v>
      </c>
      <c r="BC2235">
        <v>1</v>
      </c>
      <c r="BE2235">
        <v>0</v>
      </c>
      <c r="BF2235">
        <v>0</v>
      </c>
      <c r="BG2235">
        <v>0</v>
      </c>
      <c r="BH2235">
        <v>1300</v>
      </c>
      <c r="BI2235">
        <v>1</v>
      </c>
      <c r="BJ2235">
        <v>1</v>
      </c>
      <c r="BK2235">
        <v>1</v>
      </c>
      <c r="BL2235">
        <v>0</v>
      </c>
      <c r="BO2235">
        <v>0</v>
      </c>
      <c r="BP2235">
        <v>0</v>
      </c>
      <c r="BW2235" t="str">
        <f>"14:54:16.193"</f>
        <v>14:54:16.193</v>
      </c>
      <c r="CJ2235">
        <v>3</v>
      </c>
      <c r="CK2235">
        <v>2</v>
      </c>
      <c r="CL2235">
        <v>0</v>
      </c>
      <c r="CM2235">
        <v>2</v>
      </c>
      <c r="CN2235">
        <v>0</v>
      </c>
      <c r="CO2235">
        <v>5</v>
      </c>
      <c r="CP2235" t="s">
        <v>119</v>
      </c>
      <c r="CQ2235">
        <v>232</v>
      </c>
      <c r="CR2235">
        <v>2</v>
      </c>
      <c r="CW2235">
        <v>7101789</v>
      </c>
      <c r="CY2235">
        <v>1</v>
      </c>
      <c r="CZ2235">
        <v>0</v>
      </c>
      <c r="DA2235">
        <v>1</v>
      </c>
      <c r="DB2235">
        <v>0</v>
      </c>
      <c r="DC2235">
        <v>0</v>
      </c>
      <c r="DD2235">
        <v>1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3">
      <c r="A2236" t="str">
        <f>"12/16/2021 14:54:16.430"</f>
        <v>12/16/2021 14:54:16.430</v>
      </c>
      <c r="C2236" t="str">
        <f t="shared" si="109"/>
        <v>FFDFD3C0</v>
      </c>
      <c r="D2236" t="s">
        <v>113</v>
      </c>
      <c r="E2236">
        <v>8</v>
      </c>
      <c r="H2236">
        <v>176</v>
      </c>
      <c r="I2236" t="s">
        <v>114</v>
      </c>
      <c r="J2236" t="s">
        <v>115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>"14:54:16.188"</f>
        <v>14:54:16.188</v>
      </c>
      <c r="T2236" t="str">
        <f>"14:54:15.688"</f>
        <v>14:54:15.688</v>
      </c>
      <c r="U2236" t="str">
        <f t="shared" si="108"/>
        <v>A0F928</v>
      </c>
      <c r="V2236">
        <v>0</v>
      </c>
      <c r="W2236">
        <v>0</v>
      </c>
      <c r="X2236">
        <v>2</v>
      </c>
      <c r="Z2236">
        <v>0</v>
      </c>
      <c r="AA2236">
        <v>9</v>
      </c>
      <c r="AB2236">
        <v>3</v>
      </c>
      <c r="AC2236">
        <v>0</v>
      </c>
      <c r="AD2236">
        <v>10</v>
      </c>
      <c r="AE2236">
        <v>0</v>
      </c>
      <c r="AF2236">
        <v>3</v>
      </c>
      <c r="AG2236">
        <v>2</v>
      </c>
      <c r="AH2236">
        <v>1</v>
      </c>
      <c r="AI2236" t="s">
        <v>1157</v>
      </c>
      <c r="AJ2236">
        <v>35.839913000000003</v>
      </c>
      <c r="AK2236" t="s">
        <v>1158</v>
      </c>
      <c r="AL2236">
        <v>-83.952776999999998</v>
      </c>
      <c r="AM2236">
        <v>25</v>
      </c>
      <c r="AN2236">
        <v>1075</v>
      </c>
      <c r="AO2236" t="s">
        <v>118</v>
      </c>
      <c r="AP2236">
        <v>-12</v>
      </c>
      <c r="AQ2236">
        <v>-87</v>
      </c>
      <c r="AR2236">
        <v>-384</v>
      </c>
      <c r="AZ2236">
        <v>300</v>
      </c>
      <c r="BA2236">
        <v>1</v>
      </c>
      <c r="BB2236" t="str">
        <f t="shared" si="110"/>
        <v xml:space="preserve">N162AM  </v>
      </c>
      <c r="BC2236">
        <v>1</v>
      </c>
      <c r="BE2236">
        <v>0</v>
      </c>
      <c r="BF2236">
        <v>0</v>
      </c>
      <c r="BG2236">
        <v>0</v>
      </c>
      <c r="BH2236">
        <v>1300</v>
      </c>
      <c r="BI2236">
        <v>1</v>
      </c>
      <c r="BJ2236">
        <v>1</v>
      </c>
      <c r="BK2236">
        <v>1</v>
      </c>
      <c r="BL2236">
        <v>0</v>
      </c>
      <c r="BO2236">
        <v>0</v>
      </c>
      <c r="BP2236">
        <v>0</v>
      </c>
      <c r="BW2236" t="str">
        <f>"14:54:16.193"</f>
        <v>14:54:16.193</v>
      </c>
      <c r="CJ2236">
        <v>3</v>
      </c>
      <c r="CK2236">
        <v>2</v>
      </c>
      <c r="CL2236">
        <v>0</v>
      </c>
      <c r="CM2236">
        <v>2</v>
      </c>
      <c r="CN2236">
        <v>0</v>
      </c>
      <c r="CO2236">
        <v>5</v>
      </c>
      <c r="CP2236" t="s">
        <v>119</v>
      </c>
      <c r="CQ2236">
        <v>232</v>
      </c>
      <c r="CR2236">
        <v>2</v>
      </c>
      <c r="CW2236">
        <v>7101789</v>
      </c>
      <c r="CY2236">
        <v>1</v>
      </c>
      <c r="CZ2236">
        <v>0</v>
      </c>
      <c r="DA2236">
        <v>1</v>
      </c>
      <c r="DB2236">
        <v>0</v>
      </c>
      <c r="DC2236">
        <v>0</v>
      </c>
      <c r="DD2236">
        <v>1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3">
      <c r="A2237" t="str">
        <f>"12/16/2021 14:54:16.430"</f>
        <v>12/16/2021 14:54:16.430</v>
      </c>
      <c r="C2237" t="str">
        <f t="shared" si="109"/>
        <v>FFDFD3C0</v>
      </c>
      <c r="D2237" t="s">
        <v>124</v>
      </c>
      <c r="E2237">
        <v>5</v>
      </c>
      <c r="F2237">
        <v>1005</v>
      </c>
      <c r="G2237" t="s">
        <v>114</v>
      </c>
      <c r="J2237" t="s">
        <v>125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>"14:54:16.188"</f>
        <v>14:54:16.188</v>
      </c>
      <c r="T2237" t="str">
        <f>"14:54:15.688"</f>
        <v>14:54:15.688</v>
      </c>
      <c r="U2237" t="str">
        <f t="shared" si="108"/>
        <v>A0F928</v>
      </c>
      <c r="V2237">
        <v>0</v>
      </c>
      <c r="W2237">
        <v>0</v>
      </c>
      <c r="X2237">
        <v>2</v>
      </c>
      <c r="Z2237">
        <v>0</v>
      </c>
      <c r="AA2237">
        <v>9</v>
      </c>
      <c r="AB2237">
        <v>3</v>
      </c>
      <c r="AC2237">
        <v>0</v>
      </c>
      <c r="AD2237">
        <v>10</v>
      </c>
      <c r="AE2237">
        <v>0</v>
      </c>
      <c r="AF2237">
        <v>3</v>
      </c>
      <c r="AG2237">
        <v>2</v>
      </c>
      <c r="AH2237">
        <v>1</v>
      </c>
      <c r="AI2237" t="s">
        <v>1157</v>
      </c>
      <c r="AJ2237">
        <v>35.839913000000003</v>
      </c>
      <c r="AK2237" t="s">
        <v>1158</v>
      </c>
      <c r="AL2237">
        <v>-83.952776999999998</v>
      </c>
      <c r="AM2237">
        <v>25</v>
      </c>
      <c r="AN2237">
        <v>1075</v>
      </c>
      <c r="AO2237" t="s">
        <v>118</v>
      </c>
      <c r="AP2237">
        <v>-12</v>
      </c>
      <c r="AQ2237">
        <v>-87</v>
      </c>
      <c r="AR2237">
        <v>-384</v>
      </c>
      <c r="AZ2237">
        <v>300</v>
      </c>
      <c r="BA2237">
        <v>1</v>
      </c>
      <c r="BB2237" t="str">
        <f t="shared" si="110"/>
        <v xml:space="preserve">N162AM  </v>
      </c>
      <c r="BC2237">
        <v>1</v>
      </c>
      <c r="BE2237">
        <v>0</v>
      </c>
      <c r="BF2237">
        <v>0</v>
      </c>
      <c r="BG2237">
        <v>0</v>
      </c>
      <c r="BH2237">
        <v>1300</v>
      </c>
      <c r="BI2237">
        <v>1</v>
      </c>
      <c r="BJ2237">
        <v>1</v>
      </c>
      <c r="BK2237">
        <v>1</v>
      </c>
      <c r="BL2237">
        <v>0</v>
      </c>
      <c r="BO2237">
        <v>0</v>
      </c>
      <c r="BP2237">
        <v>0</v>
      </c>
      <c r="BW2237" t="str">
        <f>"14:54:16.193"</f>
        <v>14:54:16.193</v>
      </c>
      <c r="CJ2237">
        <v>3</v>
      </c>
      <c r="CK2237">
        <v>2</v>
      </c>
      <c r="CL2237">
        <v>0</v>
      </c>
      <c r="CM2237">
        <v>2</v>
      </c>
      <c r="CN2237">
        <v>0</v>
      </c>
      <c r="CO2237">
        <v>5</v>
      </c>
      <c r="CP2237" t="s">
        <v>119</v>
      </c>
      <c r="CQ2237">
        <v>232</v>
      </c>
      <c r="CR2237">
        <v>2</v>
      </c>
      <c r="CW2237">
        <v>7101789</v>
      </c>
      <c r="CY2237">
        <v>1</v>
      </c>
      <c r="CZ2237">
        <v>0</v>
      </c>
      <c r="DA2237">
        <v>1</v>
      </c>
      <c r="DB2237">
        <v>0</v>
      </c>
      <c r="DC2237">
        <v>0</v>
      </c>
      <c r="DD2237">
        <v>1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3">
      <c r="A2238" t="str">
        <f>"12/16/2021 14:54:17.477"</f>
        <v>12/16/2021 14:54:17.477</v>
      </c>
      <c r="C2238" t="str">
        <f t="shared" si="109"/>
        <v>FFDFD3C0</v>
      </c>
      <c r="D2238" t="s">
        <v>124</v>
      </c>
      <c r="E2238">
        <v>5</v>
      </c>
      <c r="F2238">
        <v>1005</v>
      </c>
      <c r="G2238" t="s">
        <v>114</v>
      </c>
      <c r="J2238" t="s">
        <v>125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>"14:54:17.234"</f>
        <v>14:54:17.234</v>
      </c>
      <c r="T2238" t="str">
        <f>"14:54:16.734"</f>
        <v>14:54:16.734</v>
      </c>
      <c r="U2238" t="str">
        <f t="shared" si="108"/>
        <v>A0F928</v>
      </c>
      <c r="V2238">
        <v>0</v>
      </c>
      <c r="W2238">
        <v>0</v>
      </c>
      <c r="X2238">
        <v>2</v>
      </c>
      <c r="Z2238">
        <v>0</v>
      </c>
      <c r="AA2238">
        <v>9</v>
      </c>
      <c r="AB2238">
        <v>3</v>
      </c>
      <c r="AC2238">
        <v>0</v>
      </c>
      <c r="AD2238">
        <v>10</v>
      </c>
      <c r="AE2238">
        <v>0</v>
      </c>
      <c r="AF2238">
        <v>3</v>
      </c>
      <c r="AG2238">
        <v>2</v>
      </c>
      <c r="AH2238">
        <v>1</v>
      </c>
      <c r="AI2238" t="s">
        <v>1159</v>
      </c>
      <c r="AJ2238">
        <v>35.839548000000001</v>
      </c>
      <c r="AK2238" t="s">
        <v>1160</v>
      </c>
      <c r="AL2238">
        <v>-83.952884999999995</v>
      </c>
      <c r="AM2238">
        <v>25</v>
      </c>
      <c r="AN2238">
        <v>1050</v>
      </c>
      <c r="AO2238" t="s">
        <v>118</v>
      </c>
      <c r="AP2238">
        <v>-22</v>
      </c>
      <c r="AQ2238">
        <v>-85</v>
      </c>
      <c r="AR2238">
        <v>-512</v>
      </c>
      <c r="AZ2238">
        <v>300</v>
      </c>
      <c r="BA2238">
        <v>1</v>
      </c>
      <c r="BB2238" t="str">
        <f t="shared" si="110"/>
        <v xml:space="preserve">N162AM  </v>
      </c>
      <c r="BC2238">
        <v>1</v>
      </c>
      <c r="BE2238">
        <v>0</v>
      </c>
      <c r="BF2238">
        <v>0</v>
      </c>
      <c r="BG2238">
        <v>0</v>
      </c>
      <c r="BH2238">
        <v>1300</v>
      </c>
      <c r="BI2238">
        <v>1</v>
      </c>
      <c r="BJ2238">
        <v>1</v>
      </c>
      <c r="BK2238">
        <v>1</v>
      </c>
      <c r="BL2238">
        <v>0</v>
      </c>
      <c r="BO2238">
        <v>0</v>
      </c>
      <c r="BP2238">
        <v>0</v>
      </c>
      <c r="BW2238" t="str">
        <f>"14:54:17.239"</f>
        <v>14:54:17.239</v>
      </c>
      <c r="CJ2238">
        <v>3</v>
      </c>
      <c r="CK2238">
        <v>2</v>
      </c>
      <c r="CL2238">
        <v>0</v>
      </c>
      <c r="CM2238">
        <v>2</v>
      </c>
      <c r="CN2238">
        <v>0</v>
      </c>
      <c r="CO2238">
        <v>3</v>
      </c>
      <c r="CP2238" t="s">
        <v>119</v>
      </c>
      <c r="CQ2238">
        <v>232</v>
      </c>
      <c r="CR2238">
        <v>1</v>
      </c>
      <c r="CW2238">
        <v>15880315</v>
      </c>
      <c r="CY2238">
        <v>1</v>
      </c>
      <c r="CZ2238">
        <v>0</v>
      </c>
      <c r="DA2238">
        <v>0</v>
      </c>
      <c r="DB2238">
        <v>0</v>
      </c>
      <c r="DC2238">
        <v>0</v>
      </c>
      <c r="DD2238">
        <v>1</v>
      </c>
      <c r="DE2238">
        <v>0</v>
      </c>
      <c r="DF2238">
        <v>0</v>
      </c>
      <c r="DG2238">
        <v>0</v>
      </c>
      <c r="DH2238">
        <v>0</v>
      </c>
      <c r="DI2238">
        <v>0</v>
      </c>
    </row>
    <row r="2239" spans="1:113" x14ac:dyDescent="0.3">
      <c r="A2239" t="str">
        <f>"12/16/2021 14:54:17.477"</f>
        <v>12/16/2021 14:54:17.477</v>
      </c>
      <c r="C2239" t="str">
        <f t="shared" si="109"/>
        <v>FFDFD3C0</v>
      </c>
      <c r="D2239" t="s">
        <v>113</v>
      </c>
      <c r="E2239">
        <v>8</v>
      </c>
      <c r="H2239">
        <v>176</v>
      </c>
      <c r="I2239" t="s">
        <v>114</v>
      </c>
      <c r="J2239" t="s">
        <v>115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>"14:54:17.234"</f>
        <v>14:54:17.234</v>
      </c>
      <c r="T2239" t="str">
        <f>"14:54:16.734"</f>
        <v>14:54:16.734</v>
      </c>
      <c r="U2239" t="str">
        <f t="shared" si="108"/>
        <v>A0F928</v>
      </c>
      <c r="V2239">
        <v>0</v>
      </c>
      <c r="W2239">
        <v>0</v>
      </c>
      <c r="X2239">
        <v>2</v>
      </c>
      <c r="Z2239">
        <v>0</v>
      </c>
      <c r="AA2239">
        <v>9</v>
      </c>
      <c r="AB2239">
        <v>3</v>
      </c>
      <c r="AC2239">
        <v>0</v>
      </c>
      <c r="AD2239">
        <v>10</v>
      </c>
      <c r="AE2239">
        <v>0</v>
      </c>
      <c r="AF2239">
        <v>3</v>
      </c>
      <c r="AG2239">
        <v>2</v>
      </c>
      <c r="AH2239">
        <v>1</v>
      </c>
      <c r="AI2239" t="s">
        <v>1159</v>
      </c>
      <c r="AJ2239">
        <v>35.839548000000001</v>
      </c>
      <c r="AK2239" t="s">
        <v>1160</v>
      </c>
      <c r="AL2239">
        <v>-83.952884999999995</v>
      </c>
      <c r="AM2239">
        <v>25</v>
      </c>
      <c r="AN2239">
        <v>1050</v>
      </c>
      <c r="AO2239" t="s">
        <v>118</v>
      </c>
      <c r="AP2239">
        <v>-22</v>
      </c>
      <c r="AQ2239">
        <v>-85</v>
      </c>
      <c r="AR2239">
        <v>-512</v>
      </c>
      <c r="AZ2239">
        <v>300</v>
      </c>
      <c r="BA2239">
        <v>1</v>
      </c>
      <c r="BB2239" t="str">
        <f t="shared" si="110"/>
        <v xml:space="preserve">N162AM  </v>
      </c>
      <c r="BC2239">
        <v>1</v>
      </c>
      <c r="BE2239">
        <v>0</v>
      </c>
      <c r="BF2239">
        <v>0</v>
      </c>
      <c r="BG2239">
        <v>0</v>
      </c>
      <c r="BH2239">
        <v>1300</v>
      </c>
      <c r="BI2239">
        <v>1</v>
      </c>
      <c r="BJ2239">
        <v>1</v>
      </c>
      <c r="BK2239">
        <v>1</v>
      </c>
      <c r="BL2239">
        <v>0</v>
      </c>
      <c r="BO2239">
        <v>0</v>
      </c>
      <c r="BP2239">
        <v>0</v>
      </c>
      <c r="BW2239" t="str">
        <f>"14:54:17.239"</f>
        <v>14:54:17.239</v>
      </c>
      <c r="CJ2239">
        <v>3</v>
      </c>
      <c r="CK2239">
        <v>2</v>
      </c>
      <c r="CL2239">
        <v>0</v>
      </c>
      <c r="CM2239">
        <v>2</v>
      </c>
      <c r="CN2239">
        <v>0</v>
      </c>
      <c r="CO2239">
        <v>3</v>
      </c>
      <c r="CP2239" t="s">
        <v>119</v>
      </c>
      <c r="CQ2239">
        <v>232</v>
      </c>
      <c r="CR2239">
        <v>1</v>
      </c>
      <c r="CW2239">
        <v>15880315</v>
      </c>
      <c r="CY2239">
        <v>1</v>
      </c>
      <c r="CZ2239">
        <v>0</v>
      </c>
      <c r="DA2239">
        <v>1</v>
      </c>
      <c r="DB2239">
        <v>0</v>
      </c>
      <c r="DC2239">
        <v>0</v>
      </c>
      <c r="DD2239">
        <v>1</v>
      </c>
      <c r="DE2239">
        <v>0</v>
      </c>
      <c r="DF2239">
        <v>0</v>
      </c>
      <c r="DG2239">
        <v>0</v>
      </c>
      <c r="DH2239">
        <v>0</v>
      </c>
      <c r="DI2239">
        <v>0</v>
      </c>
    </row>
    <row r="2240" spans="1:113" x14ac:dyDescent="0.3">
      <c r="A2240" t="str">
        <f>"12/16/2021 14:54:17.477"</f>
        <v>12/16/2021 14:54:17.477</v>
      </c>
      <c r="C2240" t="str">
        <f t="shared" si="109"/>
        <v>FFDFD3C0</v>
      </c>
      <c r="D2240" t="s">
        <v>124</v>
      </c>
      <c r="E2240">
        <v>10</v>
      </c>
      <c r="F2240">
        <v>1010</v>
      </c>
      <c r="G2240" t="s">
        <v>130</v>
      </c>
      <c r="J2240" t="s">
        <v>125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>"14:54:17.234"</f>
        <v>14:54:17.234</v>
      </c>
      <c r="T2240" t="str">
        <f>"14:54:16.734"</f>
        <v>14:54:16.734</v>
      </c>
      <c r="U2240" t="str">
        <f t="shared" si="108"/>
        <v>A0F928</v>
      </c>
      <c r="V2240">
        <v>0</v>
      </c>
      <c r="W2240">
        <v>0</v>
      </c>
      <c r="X2240">
        <v>2</v>
      </c>
      <c r="Z2240">
        <v>0</v>
      </c>
      <c r="AA2240">
        <v>9</v>
      </c>
      <c r="AB2240">
        <v>3</v>
      </c>
      <c r="AC2240">
        <v>0</v>
      </c>
      <c r="AD2240">
        <v>10</v>
      </c>
      <c r="AE2240">
        <v>0</v>
      </c>
      <c r="AF2240">
        <v>0</v>
      </c>
      <c r="AG2240">
        <v>2</v>
      </c>
      <c r="AH2240">
        <v>1</v>
      </c>
      <c r="AI2240" t="s">
        <v>1159</v>
      </c>
      <c r="AJ2240">
        <v>35.839548000000001</v>
      </c>
      <c r="AK2240" t="s">
        <v>1160</v>
      </c>
      <c r="AL2240">
        <v>-83.952884999999995</v>
      </c>
      <c r="AM2240">
        <v>25</v>
      </c>
      <c r="AN2240">
        <v>1050</v>
      </c>
      <c r="AO2240" t="s">
        <v>118</v>
      </c>
      <c r="AP2240">
        <v>-22</v>
      </c>
      <c r="AQ2240">
        <v>-85</v>
      </c>
      <c r="AR2240">
        <v>-512</v>
      </c>
      <c r="AZ2240">
        <v>300</v>
      </c>
      <c r="BA2240">
        <v>1</v>
      </c>
      <c r="BB2240" t="str">
        <f t="shared" si="110"/>
        <v xml:space="preserve">N162AM  </v>
      </c>
      <c r="BC2240">
        <v>1</v>
      </c>
      <c r="BE2240">
        <v>0</v>
      </c>
      <c r="BF2240">
        <v>0</v>
      </c>
      <c r="BG2240">
        <v>0</v>
      </c>
      <c r="BH2240">
        <v>1300</v>
      </c>
      <c r="BI2240">
        <v>1</v>
      </c>
      <c r="BJ2240">
        <v>1</v>
      </c>
      <c r="BK2240">
        <v>1</v>
      </c>
      <c r="BL2240">
        <v>0</v>
      </c>
      <c r="BO2240">
        <v>0</v>
      </c>
      <c r="BP2240">
        <v>0</v>
      </c>
      <c r="BW2240" t="str">
        <f>"14:54:17.239"</f>
        <v>14:54:17.239</v>
      </c>
      <c r="CJ2240">
        <v>2</v>
      </c>
      <c r="CK2240">
        <v>2</v>
      </c>
      <c r="CL2240">
        <v>0</v>
      </c>
      <c r="CM2240">
        <v>2</v>
      </c>
      <c r="CN2240">
        <v>0</v>
      </c>
      <c r="CO2240">
        <v>3</v>
      </c>
      <c r="CP2240" t="s">
        <v>119</v>
      </c>
      <c r="CQ2240">
        <v>232</v>
      </c>
      <c r="CR2240">
        <v>1</v>
      </c>
      <c r="CW2240">
        <v>15880315</v>
      </c>
      <c r="CY2240">
        <v>1</v>
      </c>
      <c r="CZ2240">
        <v>0</v>
      </c>
      <c r="DA2240">
        <v>1</v>
      </c>
      <c r="DB2240">
        <v>0</v>
      </c>
      <c r="DC2240">
        <v>0</v>
      </c>
      <c r="DD2240">
        <v>1</v>
      </c>
      <c r="DE2240">
        <v>0</v>
      </c>
      <c r="DF2240">
        <v>0</v>
      </c>
      <c r="DG2240">
        <v>0</v>
      </c>
      <c r="DH2240">
        <v>0</v>
      </c>
      <c r="DI2240">
        <v>0</v>
      </c>
    </row>
    <row r="2241" spans="1:113" x14ac:dyDescent="0.3">
      <c r="A2241" t="str">
        <f>"12/16/2021 14:54:17.477"</f>
        <v>12/16/2021 14:54:17.477</v>
      </c>
      <c r="C2241" t="str">
        <f t="shared" si="109"/>
        <v>FFDFD3C0</v>
      </c>
      <c r="D2241" t="s">
        <v>133</v>
      </c>
      <c r="E2241">
        <v>44</v>
      </c>
      <c r="H2241">
        <v>131</v>
      </c>
      <c r="I2241" t="s">
        <v>134</v>
      </c>
      <c r="J2241" t="s">
        <v>135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>"14:54:17.234"</f>
        <v>14:54:17.234</v>
      </c>
      <c r="T2241" t="str">
        <f>"14:54:16.734"</f>
        <v>14:54:16.734</v>
      </c>
      <c r="U2241" t="str">
        <f t="shared" si="108"/>
        <v>A0F928</v>
      </c>
      <c r="V2241">
        <v>0</v>
      </c>
      <c r="W2241">
        <v>0</v>
      </c>
      <c r="X2241">
        <v>2</v>
      </c>
      <c r="Z2241">
        <v>0</v>
      </c>
      <c r="AA2241">
        <v>9</v>
      </c>
      <c r="AB2241">
        <v>3</v>
      </c>
      <c r="AC2241">
        <v>0</v>
      </c>
      <c r="AD2241">
        <v>10</v>
      </c>
      <c r="AE2241">
        <v>0</v>
      </c>
      <c r="AF2241">
        <v>3</v>
      </c>
      <c r="AG2241">
        <v>2</v>
      </c>
      <c r="AH2241">
        <v>1</v>
      </c>
      <c r="AI2241" t="s">
        <v>1159</v>
      </c>
      <c r="AJ2241">
        <v>35.839548000000001</v>
      </c>
      <c r="AK2241" t="s">
        <v>1160</v>
      </c>
      <c r="AL2241">
        <v>-83.952884999999995</v>
      </c>
      <c r="AM2241">
        <v>25</v>
      </c>
      <c r="AN2241">
        <v>1050</v>
      </c>
      <c r="AO2241" t="s">
        <v>118</v>
      </c>
      <c r="AP2241">
        <v>-22</v>
      </c>
      <c r="AQ2241">
        <v>-85</v>
      </c>
      <c r="AR2241">
        <v>-512</v>
      </c>
      <c r="AZ2241">
        <v>300</v>
      </c>
      <c r="BA2241">
        <v>1</v>
      </c>
      <c r="BB2241" t="str">
        <f t="shared" si="110"/>
        <v xml:space="preserve">N162AM  </v>
      </c>
      <c r="BC2241">
        <v>1</v>
      </c>
      <c r="BE2241">
        <v>0</v>
      </c>
      <c r="BF2241">
        <v>0</v>
      </c>
      <c r="BG2241">
        <v>0</v>
      </c>
      <c r="BH2241">
        <v>1300</v>
      </c>
      <c r="BI2241">
        <v>1</v>
      </c>
      <c r="BJ2241">
        <v>1</v>
      </c>
      <c r="BK2241">
        <v>1</v>
      </c>
      <c r="BL2241">
        <v>0</v>
      </c>
      <c r="BO2241">
        <v>0</v>
      </c>
      <c r="BP2241">
        <v>0</v>
      </c>
      <c r="BW2241" t="str">
        <f>"14:54:17.239"</f>
        <v>14:54:17.239</v>
      </c>
      <c r="CJ2241">
        <v>3</v>
      </c>
      <c r="CK2241">
        <v>2</v>
      </c>
      <c r="CL2241">
        <v>0</v>
      </c>
      <c r="CM2241">
        <v>2</v>
      </c>
      <c r="CN2241">
        <v>0</v>
      </c>
      <c r="CO2241">
        <v>3</v>
      </c>
      <c r="CP2241" t="s">
        <v>119</v>
      </c>
      <c r="CQ2241">
        <v>232</v>
      </c>
      <c r="CR2241">
        <v>1</v>
      </c>
      <c r="CW2241">
        <v>15880315</v>
      </c>
      <c r="CY2241">
        <v>1</v>
      </c>
      <c r="CZ2241">
        <v>0</v>
      </c>
      <c r="DA2241">
        <v>1</v>
      </c>
      <c r="DB2241">
        <v>0</v>
      </c>
      <c r="DC2241">
        <v>0</v>
      </c>
      <c r="DD2241">
        <v>1</v>
      </c>
      <c r="DE2241">
        <v>0</v>
      </c>
      <c r="DF2241">
        <v>0</v>
      </c>
      <c r="DG2241">
        <v>0</v>
      </c>
      <c r="DH2241">
        <v>0</v>
      </c>
      <c r="DI2241">
        <v>0</v>
      </c>
    </row>
    <row r="2242" spans="1:113" x14ac:dyDescent="0.3">
      <c r="A2242" t="str">
        <f>"12/16/2021 14:54:19.009"</f>
        <v>12/16/2021 14:54:19.009</v>
      </c>
      <c r="C2242" t="str">
        <f t="shared" si="109"/>
        <v>FFDFD3C0</v>
      </c>
      <c r="D2242" t="s">
        <v>124</v>
      </c>
      <c r="E2242">
        <v>10</v>
      </c>
      <c r="F2242">
        <v>1010</v>
      </c>
      <c r="G2242" t="s">
        <v>130</v>
      </c>
      <c r="J2242" t="s">
        <v>125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>"14:54:18.797"</f>
        <v>14:54:18.797</v>
      </c>
      <c r="T2242" t="str">
        <f>"14:54:17.897"</f>
        <v>14:54:17.897</v>
      </c>
      <c r="U2242" t="str">
        <f t="shared" ref="U2242:U2285" si="111">"A0F928"</f>
        <v>A0F928</v>
      </c>
      <c r="V2242">
        <v>0</v>
      </c>
      <c r="W2242">
        <v>0</v>
      </c>
      <c r="X2242">
        <v>2</v>
      </c>
      <c r="Z2242">
        <v>0</v>
      </c>
      <c r="AA2242">
        <v>9</v>
      </c>
      <c r="AB2242">
        <v>3</v>
      </c>
      <c r="AC2242">
        <v>0</v>
      </c>
      <c r="AD2242">
        <v>10</v>
      </c>
      <c r="AE2242">
        <v>0</v>
      </c>
      <c r="AF2242">
        <v>0</v>
      </c>
      <c r="AG2242">
        <v>2</v>
      </c>
      <c r="AH2242">
        <v>1</v>
      </c>
      <c r="AI2242" t="s">
        <v>1161</v>
      </c>
      <c r="AJ2242">
        <v>35.838968999999999</v>
      </c>
      <c r="AK2242" t="s">
        <v>1145</v>
      </c>
      <c r="AL2242">
        <v>-83.953292000000005</v>
      </c>
      <c r="AM2242">
        <v>25</v>
      </c>
      <c r="AN2242">
        <v>1050</v>
      </c>
      <c r="AO2242" t="s">
        <v>118</v>
      </c>
      <c r="AP2242">
        <v>-34</v>
      </c>
      <c r="AQ2242">
        <v>-82</v>
      </c>
      <c r="AR2242">
        <v>-640</v>
      </c>
      <c r="AZ2242">
        <v>300</v>
      </c>
      <c r="BA2242">
        <v>1</v>
      </c>
      <c r="BB2242" t="str">
        <f t="shared" si="110"/>
        <v xml:space="preserve">N162AM  </v>
      </c>
      <c r="BC2242">
        <v>1</v>
      </c>
      <c r="BE2242">
        <v>0</v>
      </c>
      <c r="BF2242">
        <v>0</v>
      </c>
      <c r="BG2242">
        <v>0</v>
      </c>
      <c r="BH2242">
        <v>1300</v>
      </c>
      <c r="BI2242">
        <v>1</v>
      </c>
      <c r="BJ2242">
        <v>1</v>
      </c>
      <c r="BK2242">
        <v>1</v>
      </c>
      <c r="BL2242">
        <v>0</v>
      </c>
      <c r="BO2242">
        <v>0</v>
      </c>
      <c r="BP2242">
        <v>0</v>
      </c>
      <c r="BW2242" t="str">
        <f>"14:54:18.803"</f>
        <v>14:54:18.803</v>
      </c>
      <c r="CJ2242">
        <v>2</v>
      </c>
      <c r="CK2242">
        <v>2</v>
      </c>
      <c r="CL2242">
        <v>0</v>
      </c>
      <c r="CM2242">
        <v>2</v>
      </c>
      <c r="CN2242">
        <v>0</v>
      </c>
      <c r="CO2242">
        <v>3</v>
      </c>
      <c r="CP2242" t="s">
        <v>119</v>
      </c>
      <c r="CQ2242">
        <v>232</v>
      </c>
      <c r="CR2242">
        <v>1</v>
      </c>
      <c r="CW2242">
        <v>15882533</v>
      </c>
      <c r="CY2242">
        <v>1</v>
      </c>
      <c r="CZ2242">
        <v>0</v>
      </c>
      <c r="DA2242">
        <v>0</v>
      </c>
      <c r="DB2242">
        <v>0</v>
      </c>
      <c r="DC2242">
        <v>0</v>
      </c>
      <c r="DD2242">
        <v>1</v>
      </c>
      <c r="DE2242">
        <v>0</v>
      </c>
      <c r="DF2242">
        <v>0</v>
      </c>
      <c r="DG2242">
        <v>0</v>
      </c>
      <c r="DH2242">
        <v>0</v>
      </c>
      <c r="DI2242">
        <v>0</v>
      </c>
    </row>
    <row r="2243" spans="1:113" x14ac:dyDescent="0.3">
      <c r="A2243" t="str">
        <f>"12/16/2021 14:54:19.009"</f>
        <v>12/16/2021 14:54:19.009</v>
      </c>
      <c r="C2243" t="str">
        <f t="shared" si="109"/>
        <v>FFDFD3C0</v>
      </c>
      <c r="D2243" t="s">
        <v>113</v>
      </c>
      <c r="E2243">
        <v>8</v>
      </c>
      <c r="H2243">
        <v>176</v>
      </c>
      <c r="I2243" t="s">
        <v>114</v>
      </c>
      <c r="J2243" t="s">
        <v>115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>"14:54:18.797"</f>
        <v>14:54:18.797</v>
      </c>
      <c r="T2243" t="str">
        <f>"14:54:17.897"</f>
        <v>14:54:17.897</v>
      </c>
      <c r="U2243" t="str">
        <f t="shared" si="111"/>
        <v>A0F928</v>
      </c>
      <c r="V2243">
        <v>0</v>
      </c>
      <c r="W2243">
        <v>0</v>
      </c>
      <c r="X2243">
        <v>2</v>
      </c>
      <c r="Z2243">
        <v>0</v>
      </c>
      <c r="AA2243">
        <v>9</v>
      </c>
      <c r="AB2243">
        <v>3</v>
      </c>
      <c r="AC2243">
        <v>0</v>
      </c>
      <c r="AD2243">
        <v>10</v>
      </c>
      <c r="AE2243">
        <v>0</v>
      </c>
      <c r="AF2243">
        <v>3</v>
      </c>
      <c r="AG2243">
        <v>2</v>
      </c>
      <c r="AH2243">
        <v>1</v>
      </c>
      <c r="AI2243" t="s">
        <v>1161</v>
      </c>
      <c r="AJ2243">
        <v>35.838968999999999</v>
      </c>
      <c r="AK2243" t="s">
        <v>1145</v>
      </c>
      <c r="AL2243">
        <v>-83.953292000000005</v>
      </c>
      <c r="AM2243">
        <v>25</v>
      </c>
      <c r="AN2243">
        <v>1050</v>
      </c>
      <c r="AO2243" t="s">
        <v>118</v>
      </c>
      <c r="AP2243">
        <v>-34</v>
      </c>
      <c r="AQ2243">
        <v>-82</v>
      </c>
      <c r="AR2243">
        <v>-640</v>
      </c>
      <c r="AZ2243">
        <v>300</v>
      </c>
      <c r="BA2243">
        <v>1</v>
      </c>
      <c r="BB2243" t="str">
        <f t="shared" si="110"/>
        <v xml:space="preserve">N162AM  </v>
      </c>
      <c r="BC2243">
        <v>1</v>
      </c>
      <c r="BE2243">
        <v>0</v>
      </c>
      <c r="BF2243">
        <v>0</v>
      </c>
      <c r="BG2243">
        <v>0</v>
      </c>
      <c r="BH2243">
        <v>1300</v>
      </c>
      <c r="BI2243">
        <v>1</v>
      </c>
      <c r="BJ2243">
        <v>1</v>
      </c>
      <c r="BK2243">
        <v>1</v>
      </c>
      <c r="BL2243">
        <v>0</v>
      </c>
      <c r="BO2243">
        <v>0</v>
      </c>
      <c r="BP2243">
        <v>0</v>
      </c>
      <c r="BW2243" t="str">
        <f>"14:54:18.803"</f>
        <v>14:54:18.803</v>
      </c>
      <c r="CJ2243">
        <v>3</v>
      </c>
      <c r="CK2243">
        <v>2</v>
      </c>
      <c r="CL2243">
        <v>0</v>
      </c>
      <c r="CM2243">
        <v>2</v>
      </c>
      <c r="CN2243">
        <v>0</v>
      </c>
      <c r="CO2243">
        <v>3</v>
      </c>
      <c r="CP2243" t="s">
        <v>119</v>
      </c>
      <c r="CQ2243">
        <v>232</v>
      </c>
      <c r="CR2243">
        <v>1</v>
      </c>
      <c r="CW2243">
        <v>15882533</v>
      </c>
      <c r="CY2243">
        <v>1</v>
      </c>
      <c r="CZ2243">
        <v>0</v>
      </c>
      <c r="DA2243">
        <v>1</v>
      </c>
      <c r="DB2243">
        <v>0</v>
      </c>
      <c r="DC2243">
        <v>0</v>
      </c>
      <c r="DD2243">
        <v>1</v>
      </c>
      <c r="DE2243">
        <v>0</v>
      </c>
      <c r="DF2243">
        <v>0</v>
      </c>
      <c r="DG2243">
        <v>0</v>
      </c>
      <c r="DH2243">
        <v>0</v>
      </c>
      <c r="DI2243">
        <v>0</v>
      </c>
    </row>
    <row r="2244" spans="1:113" x14ac:dyDescent="0.3">
      <c r="A2244" t="str">
        <f>"12/16/2021 14:54:19.056"</f>
        <v>12/16/2021 14:54:19.056</v>
      </c>
      <c r="C2244" t="str">
        <f t="shared" si="109"/>
        <v>FFDFD3C0</v>
      </c>
      <c r="D2244" t="s">
        <v>133</v>
      </c>
      <c r="E2244">
        <v>44</v>
      </c>
      <c r="H2244">
        <v>131</v>
      </c>
      <c r="I2244" t="s">
        <v>134</v>
      </c>
      <c r="J2244" t="s">
        <v>135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>"14:54:18.797"</f>
        <v>14:54:18.797</v>
      </c>
      <c r="T2244" t="str">
        <f>"14:54:17.897"</f>
        <v>14:54:17.897</v>
      </c>
      <c r="U2244" t="str">
        <f t="shared" si="111"/>
        <v>A0F928</v>
      </c>
      <c r="V2244">
        <v>0</v>
      </c>
      <c r="W2244">
        <v>0</v>
      </c>
      <c r="X2244">
        <v>2</v>
      </c>
      <c r="Z2244">
        <v>0</v>
      </c>
      <c r="AA2244">
        <v>9</v>
      </c>
      <c r="AB2244">
        <v>3</v>
      </c>
      <c r="AC2244">
        <v>0</v>
      </c>
      <c r="AD2244">
        <v>10</v>
      </c>
      <c r="AE2244">
        <v>0</v>
      </c>
      <c r="AF2244">
        <v>3</v>
      </c>
      <c r="AG2244">
        <v>2</v>
      </c>
      <c r="AH2244">
        <v>1</v>
      </c>
      <c r="AI2244" t="s">
        <v>1161</v>
      </c>
      <c r="AJ2244">
        <v>35.838968999999999</v>
      </c>
      <c r="AK2244" t="s">
        <v>1145</v>
      </c>
      <c r="AL2244">
        <v>-83.953292000000005</v>
      </c>
      <c r="AM2244">
        <v>25</v>
      </c>
      <c r="AN2244">
        <v>1050</v>
      </c>
      <c r="AO2244" t="s">
        <v>118</v>
      </c>
      <c r="AP2244">
        <v>-34</v>
      </c>
      <c r="AQ2244">
        <v>-82</v>
      </c>
      <c r="AR2244">
        <v>-640</v>
      </c>
      <c r="AZ2244">
        <v>300</v>
      </c>
      <c r="BA2244">
        <v>1</v>
      </c>
      <c r="BB2244" t="str">
        <f t="shared" si="110"/>
        <v xml:space="preserve">N162AM  </v>
      </c>
      <c r="BC2244">
        <v>1</v>
      </c>
      <c r="BE2244">
        <v>0</v>
      </c>
      <c r="BF2244">
        <v>0</v>
      </c>
      <c r="BG2244">
        <v>0</v>
      </c>
      <c r="BH2244">
        <v>1300</v>
      </c>
      <c r="BI2244">
        <v>1</v>
      </c>
      <c r="BJ2244">
        <v>1</v>
      </c>
      <c r="BK2244">
        <v>1</v>
      </c>
      <c r="BL2244">
        <v>0</v>
      </c>
      <c r="BO2244">
        <v>0</v>
      </c>
      <c r="BP2244">
        <v>0</v>
      </c>
      <c r="BW2244" t="str">
        <f>"14:54:18.803"</f>
        <v>14:54:18.803</v>
      </c>
      <c r="CJ2244">
        <v>3</v>
      </c>
      <c r="CK2244">
        <v>2</v>
      </c>
      <c r="CL2244">
        <v>0</v>
      </c>
      <c r="CM2244">
        <v>2</v>
      </c>
      <c r="CN2244">
        <v>0</v>
      </c>
      <c r="CO2244">
        <v>3</v>
      </c>
      <c r="CP2244" t="s">
        <v>119</v>
      </c>
      <c r="CQ2244">
        <v>232</v>
      </c>
      <c r="CR2244">
        <v>1</v>
      </c>
      <c r="CW2244">
        <v>15882533</v>
      </c>
      <c r="CY2244">
        <v>1</v>
      </c>
      <c r="CZ2244">
        <v>0</v>
      </c>
      <c r="DA2244">
        <v>1</v>
      </c>
      <c r="DB2244">
        <v>0</v>
      </c>
      <c r="DC2244">
        <v>0</v>
      </c>
      <c r="DD2244">
        <v>1</v>
      </c>
      <c r="DE2244">
        <v>0</v>
      </c>
      <c r="DF2244">
        <v>0</v>
      </c>
      <c r="DG2244">
        <v>0</v>
      </c>
      <c r="DH2244">
        <v>0</v>
      </c>
      <c r="DI2244">
        <v>0</v>
      </c>
    </row>
    <row r="2245" spans="1:113" x14ac:dyDescent="0.3">
      <c r="A2245" t="str">
        <f>"12/16/2021 14:54:19.071"</f>
        <v>12/16/2021 14:54:19.071</v>
      </c>
      <c r="C2245" t="str">
        <f t="shared" si="109"/>
        <v>FFDFD3C0</v>
      </c>
      <c r="D2245" t="s">
        <v>124</v>
      </c>
      <c r="E2245">
        <v>5</v>
      </c>
      <c r="F2245">
        <v>1005</v>
      </c>
      <c r="G2245" t="s">
        <v>114</v>
      </c>
      <c r="J2245" t="s">
        <v>125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>"14:54:18.797"</f>
        <v>14:54:18.797</v>
      </c>
      <c r="T2245" t="str">
        <f>"14:54:17.897"</f>
        <v>14:54:17.897</v>
      </c>
      <c r="U2245" t="str">
        <f t="shared" si="111"/>
        <v>A0F928</v>
      </c>
      <c r="V2245">
        <v>0</v>
      </c>
      <c r="W2245">
        <v>0</v>
      </c>
      <c r="X2245">
        <v>2</v>
      </c>
      <c r="Z2245">
        <v>0</v>
      </c>
      <c r="AA2245">
        <v>9</v>
      </c>
      <c r="AB2245">
        <v>3</v>
      </c>
      <c r="AC2245">
        <v>0</v>
      </c>
      <c r="AD2245">
        <v>10</v>
      </c>
      <c r="AE2245">
        <v>0</v>
      </c>
      <c r="AF2245">
        <v>3</v>
      </c>
      <c r="AG2245">
        <v>2</v>
      </c>
      <c r="AH2245">
        <v>1</v>
      </c>
      <c r="AI2245" t="s">
        <v>1161</v>
      </c>
      <c r="AJ2245">
        <v>35.838968999999999</v>
      </c>
      <c r="AK2245" t="s">
        <v>1145</v>
      </c>
      <c r="AL2245">
        <v>-83.953292000000005</v>
      </c>
      <c r="AM2245">
        <v>25</v>
      </c>
      <c r="AN2245">
        <v>1050</v>
      </c>
      <c r="AO2245" t="s">
        <v>118</v>
      </c>
      <c r="AP2245">
        <v>-34</v>
      </c>
      <c r="AQ2245">
        <v>-82</v>
      </c>
      <c r="AR2245">
        <v>-640</v>
      </c>
      <c r="AZ2245">
        <v>300</v>
      </c>
      <c r="BA2245">
        <v>1</v>
      </c>
      <c r="BB2245" t="str">
        <f t="shared" si="110"/>
        <v xml:space="preserve">N162AM  </v>
      </c>
      <c r="BC2245">
        <v>1</v>
      </c>
      <c r="BE2245">
        <v>0</v>
      </c>
      <c r="BF2245">
        <v>0</v>
      </c>
      <c r="BG2245">
        <v>0</v>
      </c>
      <c r="BH2245">
        <v>1300</v>
      </c>
      <c r="BI2245">
        <v>1</v>
      </c>
      <c r="BJ2245">
        <v>1</v>
      </c>
      <c r="BK2245">
        <v>1</v>
      </c>
      <c r="BL2245">
        <v>0</v>
      </c>
      <c r="BO2245">
        <v>0</v>
      </c>
      <c r="BP2245">
        <v>0</v>
      </c>
      <c r="BW2245" t="str">
        <f>"14:54:18.803"</f>
        <v>14:54:18.803</v>
      </c>
      <c r="CJ2245">
        <v>3</v>
      </c>
      <c r="CK2245">
        <v>2</v>
      </c>
      <c r="CL2245">
        <v>0</v>
      </c>
      <c r="CM2245">
        <v>2</v>
      </c>
      <c r="CN2245">
        <v>0</v>
      </c>
      <c r="CO2245">
        <v>3</v>
      </c>
      <c r="CP2245" t="s">
        <v>119</v>
      </c>
      <c r="CQ2245">
        <v>232</v>
      </c>
      <c r="CR2245">
        <v>1</v>
      </c>
      <c r="CW2245">
        <v>15882533</v>
      </c>
      <c r="CY2245">
        <v>1</v>
      </c>
      <c r="CZ2245">
        <v>0</v>
      </c>
      <c r="DA2245">
        <v>1</v>
      </c>
      <c r="DB2245">
        <v>0</v>
      </c>
      <c r="DC2245">
        <v>0</v>
      </c>
      <c r="DD2245">
        <v>1</v>
      </c>
      <c r="DE2245">
        <v>0</v>
      </c>
      <c r="DF2245">
        <v>0</v>
      </c>
      <c r="DG2245">
        <v>0</v>
      </c>
      <c r="DH2245">
        <v>0</v>
      </c>
      <c r="DI2245">
        <v>0</v>
      </c>
    </row>
    <row r="2246" spans="1:113" x14ac:dyDescent="0.3">
      <c r="A2246" t="str">
        <f>"12/16/2021 14:54:20.008"</f>
        <v>12/16/2021 14:54:20.008</v>
      </c>
      <c r="C2246" t="str">
        <f t="shared" si="109"/>
        <v>FFDFD3C0</v>
      </c>
      <c r="D2246" t="s">
        <v>113</v>
      </c>
      <c r="E2246">
        <v>8</v>
      </c>
      <c r="H2246">
        <v>176</v>
      </c>
      <c r="I2246" t="s">
        <v>114</v>
      </c>
      <c r="J2246" t="s">
        <v>115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>"14:54:19.820"</f>
        <v>14:54:19.820</v>
      </c>
      <c r="T2246" t="str">
        <f>"14:54:19.420"</f>
        <v>14:54:19.420</v>
      </c>
      <c r="U2246" t="str">
        <f t="shared" si="111"/>
        <v>A0F928</v>
      </c>
      <c r="V2246">
        <v>0</v>
      </c>
      <c r="W2246">
        <v>0</v>
      </c>
      <c r="X2246">
        <v>2</v>
      </c>
      <c r="Z2246">
        <v>0</v>
      </c>
      <c r="AA2246">
        <v>9</v>
      </c>
      <c r="AB2246">
        <v>3</v>
      </c>
      <c r="AC2246">
        <v>0</v>
      </c>
      <c r="AD2246">
        <v>10</v>
      </c>
      <c r="AE2246">
        <v>0</v>
      </c>
      <c r="AF2246">
        <v>3</v>
      </c>
      <c r="AG2246">
        <v>2</v>
      </c>
      <c r="AH2246">
        <v>1</v>
      </c>
      <c r="AI2246" t="s">
        <v>1162</v>
      </c>
      <c r="AJ2246">
        <v>35.838647000000002</v>
      </c>
      <c r="AK2246" t="s">
        <v>537</v>
      </c>
      <c r="AL2246">
        <v>-83.953570999999997</v>
      </c>
      <c r="AM2246">
        <v>25</v>
      </c>
      <c r="AN2246">
        <v>1025</v>
      </c>
      <c r="AO2246" t="s">
        <v>118</v>
      </c>
      <c r="AP2246">
        <v>-50</v>
      </c>
      <c r="AQ2246">
        <v>-74</v>
      </c>
      <c r="AR2246">
        <v>-704</v>
      </c>
      <c r="AZ2246">
        <v>300</v>
      </c>
      <c r="BA2246">
        <v>1</v>
      </c>
      <c r="BB2246" t="str">
        <f t="shared" si="110"/>
        <v xml:space="preserve">N162AM  </v>
      </c>
      <c r="BC2246">
        <v>1</v>
      </c>
      <c r="BE2246">
        <v>0</v>
      </c>
      <c r="BF2246">
        <v>0</v>
      </c>
      <c r="BG2246">
        <v>0</v>
      </c>
      <c r="BH2246">
        <v>1300</v>
      </c>
      <c r="BI2246">
        <v>1</v>
      </c>
      <c r="BJ2246">
        <v>1</v>
      </c>
      <c r="BK2246">
        <v>1</v>
      </c>
      <c r="BL2246">
        <v>0</v>
      </c>
      <c r="BO2246">
        <v>0</v>
      </c>
      <c r="BP2246">
        <v>0</v>
      </c>
      <c r="BW2246" t="str">
        <f>"14:54:19.821"</f>
        <v>14:54:19.821</v>
      </c>
      <c r="CJ2246">
        <v>3</v>
      </c>
      <c r="CK2246">
        <v>2</v>
      </c>
      <c r="CL2246">
        <v>0</v>
      </c>
      <c r="CM2246">
        <v>2</v>
      </c>
      <c r="CN2246">
        <v>0</v>
      </c>
      <c r="CO2246">
        <v>5</v>
      </c>
      <c r="CP2246" t="s">
        <v>119</v>
      </c>
      <c r="CQ2246">
        <v>232</v>
      </c>
      <c r="CR2246">
        <v>1</v>
      </c>
      <c r="CW2246">
        <v>15883997</v>
      </c>
      <c r="CY2246">
        <v>1</v>
      </c>
      <c r="CZ2246">
        <v>0</v>
      </c>
      <c r="DA2246">
        <v>0</v>
      </c>
      <c r="DB2246">
        <v>0</v>
      </c>
      <c r="DC2246">
        <v>0</v>
      </c>
      <c r="DD2246">
        <v>1</v>
      </c>
      <c r="DE2246">
        <v>0</v>
      </c>
      <c r="DF2246">
        <v>0</v>
      </c>
      <c r="DG2246">
        <v>0</v>
      </c>
      <c r="DH2246">
        <v>0</v>
      </c>
      <c r="DI2246">
        <v>0</v>
      </c>
    </row>
    <row r="2247" spans="1:113" x14ac:dyDescent="0.3">
      <c r="A2247" t="str">
        <f>"12/16/2021 14:54:20.055"</f>
        <v>12/16/2021 14:54:20.055</v>
      </c>
      <c r="C2247" t="str">
        <f t="shared" si="109"/>
        <v>FFDFD3C0</v>
      </c>
      <c r="D2247" t="s">
        <v>133</v>
      </c>
      <c r="E2247">
        <v>44</v>
      </c>
      <c r="H2247">
        <v>131</v>
      </c>
      <c r="I2247" t="s">
        <v>134</v>
      </c>
      <c r="J2247" t="s">
        <v>135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>"14:54:19.820"</f>
        <v>14:54:19.820</v>
      </c>
      <c r="T2247" t="str">
        <f>"14:54:19.420"</f>
        <v>14:54:19.420</v>
      </c>
      <c r="U2247" t="str">
        <f t="shared" si="111"/>
        <v>A0F928</v>
      </c>
      <c r="V2247">
        <v>0</v>
      </c>
      <c r="W2247">
        <v>0</v>
      </c>
      <c r="X2247">
        <v>2</v>
      </c>
      <c r="Z2247">
        <v>0</v>
      </c>
      <c r="AA2247">
        <v>9</v>
      </c>
      <c r="AB2247">
        <v>3</v>
      </c>
      <c r="AC2247">
        <v>0</v>
      </c>
      <c r="AD2247">
        <v>10</v>
      </c>
      <c r="AE2247">
        <v>0</v>
      </c>
      <c r="AF2247">
        <v>3</v>
      </c>
      <c r="AG2247">
        <v>2</v>
      </c>
      <c r="AH2247">
        <v>1</v>
      </c>
      <c r="AI2247" t="s">
        <v>1162</v>
      </c>
      <c r="AJ2247">
        <v>35.838647000000002</v>
      </c>
      <c r="AK2247" t="s">
        <v>537</v>
      </c>
      <c r="AL2247">
        <v>-83.953570999999997</v>
      </c>
      <c r="AM2247">
        <v>25</v>
      </c>
      <c r="AN2247">
        <v>1025</v>
      </c>
      <c r="AO2247" t="s">
        <v>118</v>
      </c>
      <c r="AP2247">
        <v>-50</v>
      </c>
      <c r="AQ2247">
        <v>-74</v>
      </c>
      <c r="AR2247">
        <v>-704</v>
      </c>
      <c r="AZ2247">
        <v>300</v>
      </c>
      <c r="BA2247">
        <v>1</v>
      </c>
      <c r="BB2247" t="str">
        <f t="shared" si="110"/>
        <v xml:space="preserve">N162AM  </v>
      </c>
      <c r="BC2247">
        <v>1</v>
      </c>
      <c r="BE2247">
        <v>0</v>
      </c>
      <c r="BF2247">
        <v>0</v>
      </c>
      <c r="BG2247">
        <v>0</v>
      </c>
      <c r="BH2247">
        <v>1300</v>
      </c>
      <c r="BI2247">
        <v>1</v>
      </c>
      <c r="BJ2247">
        <v>1</v>
      </c>
      <c r="BK2247">
        <v>1</v>
      </c>
      <c r="BL2247">
        <v>0</v>
      </c>
      <c r="BO2247">
        <v>0</v>
      </c>
      <c r="BP2247">
        <v>0</v>
      </c>
      <c r="BW2247" t="str">
        <f>"14:54:19.821"</f>
        <v>14:54:19.821</v>
      </c>
      <c r="CJ2247">
        <v>3</v>
      </c>
      <c r="CK2247">
        <v>2</v>
      </c>
      <c r="CL2247">
        <v>0</v>
      </c>
      <c r="CM2247">
        <v>2</v>
      </c>
      <c r="CN2247">
        <v>0</v>
      </c>
      <c r="CO2247">
        <v>5</v>
      </c>
      <c r="CP2247" t="s">
        <v>119</v>
      </c>
      <c r="CQ2247">
        <v>232</v>
      </c>
      <c r="CR2247">
        <v>1</v>
      </c>
      <c r="CW2247">
        <v>15883997</v>
      </c>
      <c r="CY2247">
        <v>1</v>
      </c>
      <c r="CZ2247">
        <v>0</v>
      </c>
      <c r="DA2247">
        <v>1</v>
      </c>
      <c r="DB2247">
        <v>0</v>
      </c>
      <c r="DC2247">
        <v>0</v>
      </c>
      <c r="DD2247">
        <v>1</v>
      </c>
      <c r="DE2247">
        <v>0</v>
      </c>
      <c r="DF2247">
        <v>0</v>
      </c>
      <c r="DG2247">
        <v>0</v>
      </c>
      <c r="DH2247">
        <v>0</v>
      </c>
      <c r="DI2247">
        <v>0</v>
      </c>
    </row>
    <row r="2248" spans="1:113" x14ac:dyDescent="0.3">
      <c r="A2248" t="str">
        <f>"12/16/2021 14:54:20.055"</f>
        <v>12/16/2021 14:54:20.055</v>
      </c>
      <c r="C2248" t="str">
        <f t="shared" si="109"/>
        <v>FFDFD3C0</v>
      </c>
      <c r="D2248" t="s">
        <v>124</v>
      </c>
      <c r="E2248">
        <v>5</v>
      </c>
      <c r="F2248">
        <v>1005</v>
      </c>
      <c r="G2248" t="s">
        <v>114</v>
      </c>
      <c r="J2248" t="s">
        <v>125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>"14:54:19.820"</f>
        <v>14:54:19.820</v>
      </c>
      <c r="T2248" t="str">
        <f>"14:54:19.420"</f>
        <v>14:54:19.420</v>
      </c>
      <c r="U2248" t="str">
        <f t="shared" si="111"/>
        <v>A0F928</v>
      </c>
      <c r="V2248">
        <v>0</v>
      </c>
      <c r="W2248">
        <v>0</v>
      </c>
      <c r="X2248">
        <v>2</v>
      </c>
      <c r="Z2248">
        <v>0</v>
      </c>
      <c r="AA2248">
        <v>9</v>
      </c>
      <c r="AB2248">
        <v>3</v>
      </c>
      <c r="AC2248">
        <v>0</v>
      </c>
      <c r="AD2248">
        <v>10</v>
      </c>
      <c r="AE2248">
        <v>0</v>
      </c>
      <c r="AF2248">
        <v>3</v>
      </c>
      <c r="AG2248">
        <v>2</v>
      </c>
      <c r="AH2248">
        <v>1</v>
      </c>
      <c r="AI2248" t="s">
        <v>1162</v>
      </c>
      <c r="AJ2248">
        <v>35.838647000000002</v>
      </c>
      <c r="AK2248" t="s">
        <v>537</v>
      </c>
      <c r="AL2248">
        <v>-83.953570999999997</v>
      </c>
      <c r="AM2248">
        <v>25</v>
      </c>
      <c r="AN2248">
        <v>1025</v>
      </c>
      <c r="AO2248" t="s">
        <v>118</v>
      </c>
      <c r="AP2248">
        <v>-50</v>
      </c>
      <c r="AQ2248">
        <v>-74</v>
      </c>
      <c r="AR2248">
        <v>-704</v>
      </c>
      <c r="AZ2248">
        <v>300</v>
      </c>
      <c r="BA2248">
        <v>1</v>
      </c>
      <c r="BB2248" t="str">
        <f t="shared" si="110"/>
        <v xml:space="preserve">N162AM  </v>
      </c>
      <c r="BC2248">
        <v>1</v>
      </c>
      <c r="BE2248">
        <v>0</v>
      </c>
      <c r="BF2248">
        <v>0</v>
      </c>
      <c r="BG2248">
        <v>0</v>
      </c>
      <c r="BH2248">
        <v>1300</v>
      </c>
      <c r="BI2248">
        <v>1</v>
      </c>
      <c r="BJ2248">
        <v>1</v>
      </c>
      <c r="BK2248">
        <v>1</v>
      </c>
      <c r="BL2248">
        <v>0</v>
      </c>
      <c r="BO2248">
        <v>0</v>
      </c>
      <c r="BP2248">
        <v>0</v>
      </c>
      <c r="BW2248" t="str">
        <f>"14:54:19.821"</f>
        <v>14:54:19.821</v>
      </c>
      <c r="CJ2248">
        <v>3</v>
      </c>
      <c r="CK2248">
        <v>2</v>
      </c>
      <c r="CL2248">
        <v>0</v>
      </c>
      <c r="CM2248">
        <v>2</v>
      </c>
      <c r="CN2248">
        <v>0</v>
      </c>
      <c r="CO2248">
        <v>5</v>
      </c>
      <c r="CP2248" t="s">
        <v>119</v>
      </c>
      <c r="CQ2248">
        <v>232</v>
      </c>
      <c r="CR2248">
        <v>1</v>
      </c>
      <c r="CW2248">
        <v>15883997</v>
      </c>
      <c r="CY2248">
        <v>1</v>
      </c>
      <c r="CZ2248">
        <v>0</v>
      </c>
      <c r="DA2248">
        <v>1</v>
      </c>
      <c r="DB2248">
        <v>0</v>
      </c>
      <c r="DC2248">
        <v>0</v>
      </c>
      <c r="DD2248">
        <v>1</v>
      </c>
      <c r="DE2248">
        <v>0</v>
      </c>
      <c r="DF2248">
        <v>0</v>
      </c>
      <c r="DG2248">
        <v>0</v>
      </c>
      <c r="DH2248">
        <v>0</v>
      </c>
      <c r="DI2248">
        <v>0</v>
      </c>
    </row>
    <row r="2249" spans="1:113" x14ac:dyDescent="0.3">
      <c r="A2249" t="str">
        <f>"12/16/2021 14:54:20.055"</f>
        <v>12/16/2021 14:54:20.055</v>
      </c>
      <c r="C2249" t="str">
        <f t="shared" si="109"/>
        <v>FFDFD3C0</v>
      </c>
      <c r="D2249" t="s">
        <v>124</v>
      </c>
      <c r="E2249">
        <v>10</v>
      </c>
      <c r="F2249">
        <v>1010</v>
      </c>
      <c r="G2249" t="s">
        <v>130</v>
      </c>
      <c r="J2249" t="s">
        <v>125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>"14:54:19.820"</f>
        <v>14:54:19.820</v>
      </c>
      <c r="T2249" t="str">
        <f>"14:54:19.420"</f>
        <v>14:54:19.420</v>
      </c>
      <c r="U2249" t="str">
        <f t="shared" si="111"/>
        <v>A0F928</v>
      </c>
      <c r="V2249">
        <v>0</v>
      </c>
      <c r="W2249">
        <v>0</v>
      </c>
      <c r="X2249">
        <v>2</v>
      </c>
      <c r="Z2249">
        <v>0</v>
      </c>
      <c r="AA2249">
        <v>9</v>
      </c>
      <c r="AB2249">
        <v>3</v>
      </c>
      <c r="AC2249">
        <v>0</v>
      </c>
      <c r="AD2249">
        <v>10</v>
      </c>
      <c r="AE2249">
        <v>0</v>
      </c>
      <c r="AF2249">
        <v>0</v>
      </c>
      <c r="AG2249">
        <v>2</v>
      </c>
      <c r="AH2249">
        <v>1</v>
      </c>
      <c r="AI2249" t="s">
        <v>1162</v>
      </c>
      <c r="AJ2249">
        <v>35.838647000000002</v>
      </c>
      <c r="AK2249" t="s">
        <v>537</v>
      </c>
      <c r="AL2249">
        <v>-83.953570999999997</v>
      </c>
      <c r="AM2249">
        <v>25</v>
      </c>
      <c r="AN2249">
        <v>1025</v>
      </c>
      <c r="AO2249" t="s">
        <v>118</v>
      </c>
      <c r="AP2249">
        <v>-50</v>
      </c>
      <c r="AQ2249">
        <v>-74</v>
      </c>
      <c r="AR2249">
        <v>-704</v>
      </c>
      <c r="AZ2249">
        <v>300</v>
      </c>
      <c r="BA2249">
        <v>1</v>
      </c>
      <c r="BB2249" t="str">
        <f t="shared" si="110"/>
        <v xml:space="preserve">N162AM  </v>
      </c>
      <c r="BC2249">
        <v>1</v>
      </c>
      <c r="BE2249">
        <v>0</v>
      </c>
      <c r="BF2249">
        <v>0</v>
      </c>
      <c r="BG2249">
        <v>0</v>
      </c>
      <c r="BH2249">
        <v>1300</v>
      </c>
      <c r="BI2249">
        <v>1</v>
      </c>
      <c r="BJ2249">
        <v>1</v>
      </c>
      <c r="BK2249">
        <v>1</v>
      </c>
      <c r="BL2249">
        <v>0</v>
      </c>
      <c r="BO2249">
        <v>0</v>
      </c>
      <c r="BP2249">
        <v>0</v>
      </c>
      <c r="BW2249" t="str">
        <f>"14:54:19.821"</f>
        <v>14:54:19.821</v>
      </c>
      <c r="CJ2249">
        <v>2</v>
      </c>
      <c r="CK2249">
        <v>2</v>
      </c>
      <c r="CL2249">
        <v>0</v>
      </c>
      <c r="CM2249">
        <v>2</v>
      </c>
      <c r="CN2249">
        <v>0</v>
      </c>
      <c r="CO2249">
        <v>5</v>
      </c>
      <c r="CP2249" t="s">
        <v>119</v>
      </c>
      <c r="CQ2249">
        <v>232</v>
      </c>
      <c r="CR2249">
        <v>1</v>
      </c>
      <c r="CW2249">
        <v>15883997</v>
      </c>
      <c r="CY2249">
        <v>1</v>
      </c>
      <c r="CZ2249">
        <v>0</v>
      </c>
      <c r="DA2249">
        <v>1</v>
      </c>
      <c r="DB2249">
        <v>0</v>
      </c>
      <c r="DC2249">
        <v>0</v>
      </c>
      <c r="DD2249">
        <v>1</v>
      </c>
      <c r="DE2249">
        <v>0</v>
      </c>
      <c r="DF2249">
        <v>0</v>
      </c>
      <c r="DG2249">
        <v>0</v>
      </c>
      <c r="DH2249">
        <v>0</v>
      </c>
      <c r="DI2249">
        <v>0</v>
      </c>
    </row>
    <row r="2250" spans="1:113" x14ac:dyDescent="0.3">
      <c r="A2250" t="str">
        <f>"12/16/2021 14:54:21.024"</f>
        <v>12/16/2021 14:54:21.024</v>
      </c>
      <c r="C2250" t="str">
        <f t="shared" si="109"/>
        <v>FFDFD3C0</v>
      </c>
      <c r="D2250" t="s">
        <v>113</v>
      </c>
      <c r="E2250">
        <v>8</v>
      </c>
      <c r="H2250">
        <v>176</v>
      </c>
      <c r="I2250" t="s">
        <v>114</v>
      </c>
      <c r="J2250" t="s">
        <v>115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>"14:54:20.828"</f>
        <v>14:54:20.828</v>
      </c>
      <c r="T2250" t="str">
        <f>"14:54:20.328"</f>
        <v>14:54:20.328</v>
      </c>
      <c r="U2250" t="str">
        <f t="shared" si="111"/>
        <v>A0F928</v>
      </c>
      <c r="V2250">
        <v>0</v>
      </c>
      <c r="W2250">
        <v>0</v>
      </c>
      <c r="X2250">
        <v>2</v>
      </c>
      <c r="Z2250">
        <v>0</v>
      </c>
      <c r="AA2250">
        <v>9</v>
      </c>
      <c r="AB2250">
        <v>3</v>
      </c>
      <c r="AC2250">
        <v>0</v>
      </c>
      <c r="AD2250">
        <v>10</v>
      </c>
      <c r="AE2250">
        <v>0</v>
      </c>
      <c r="AF2250">
        <v>3</v>
      </c>
      <c r="AG2250">
        <v>2</v>
      </c>
      <c r="AH2250">
        <v>1</v>
      </c>
      <c r="AI2250" t="s">
        <v>624</v>
      </c>
      <c r="AJ2250">
        <v>35.838324999999998</v>
      </c>
      <c r="AK2250" t="s">
        <v>369</v>
      </c>
      <c r="AL2250">
        <v>-83.953914999999995</v>
      </c>
      <c r="AM2250">
        <v>25</v>
      </c>
      <c r="AN2250">
        <v>1000</v>
      </c>
      <c r="AO2250" t="s">
        <v>118</v>
      </c>
      <c r="AP2250">
        <v>-59</v>
      </c>
      <c r="AQ2250">
        <v>-68</v>
      </c>
      <c r="AR2250">
        <v>-704</v>
      </c>
      <c r="AZ2250">
        <v>300</v>
      </c>
      <c r="BA2250">
        <v>1</v>
      </c>
      <c r="BB2250" t="str">
        <f t="shared" si="110"/>
        <v xml:space="preserve">N162AM  </v>
      </c>
      <c r="BC2250">
        <v>1</v>
      </c>
      <c r="BE2250">
        <v>0</v>
      </c>
      <c r="BF2250">
        <v>0</v>
      </c>
      <c r="BG2250">
        <v>0</v>
      </c>
      <c r="BH2250">
        <v>1275</v>
      </c>
      <c r="BI2250">
        <v>1</v>
      </c>
      <c r="BJ2250">
        <v>1</v>
      </c>
      <c r="BK2250">
        <v>1</v>
      </c>
      <c r="BL2250">
        <v>0</v>
      </c>
      <c r="BO2250">
        <v>0</v>
      </c>
      <c r="BP2250">
        <v>0</v>
      </c>
      <c r="BW2250" t="str">
        <f>"14:54:20.833"</f>
        <v>14:54:20.833</v>
      </c>
      <c r="CJ2250">
        <v>3</v>
      </c>
      <c r="CK2250">
        <v>2</v>
      </c>
      <c r="CL2250">
        <v>0</v>
      </c>
      <c r="CM2250">
        <v>2</v>
      </c>
      <c r="CN2250">
        <v>0</v>
      </c>
      <c r="CO2250">
        <v>4</v>
      </c>
      <c r="CP2250" t="s">
        <v>119</v>
      </c>
      <c r="CQ2250">
        <v>232</v>
      </c>
      <c r="CR2250">
        <v>1</v>
      </c>
      <c r="CW2250">
        <v>15885426</v>
      </c>
      <c r="CY2250">
        <v>1</v>
      </c>
      <c r="CZ2250">
        <v>0</v>
      </c>
      <c r="DA2250">
        <v>0</v>
      </c>
      <c r="DB2250">
        <v>0</v>
      </c>
      <c r="DC2250">
        <v>0</v>
      </c>
      <c r="DD2250">
        <v>1</v>
      </c>
      <c r="DE2250">
        <v>0</v>
      </c>
      <c r="DF2250">
        <v>0</v>
      </c>
      <c r="DG2250">
        <v>0</v>
      </c>
      <c r="DH2250">
        <v>0</v>
      </c>
      <c r="DI2250">
        <v>0</v>
      </c>
    </row>
    <row r="2251" spans="1:113" x14ac:dyDescent="0.3">
      <c r="A2251" t="str">
        <f>"12/16/2021 14:54:21.024"</f>
        <v>12/16/2021 14:54:21.024</v>
      </c>
      <c r="C2251" t="str">
        <f t="shared" si="109"/>
        <v>FFDFD3C0</v>
      </c>
      <c r="D2251" t="s">
        <v>124</v>
      </c>
      <c r="E2251">
        <v>10</v>
      </c>
      <c r="F2251">
        <v>1010</v>
      </c>
      <c r="G2251" t="s">
        <v>130</v>
      </c>
      <c r="J2251" t="s">
        <v>125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>"14:54:20.828"</f>
        <v>14:54:20.828</v>
      </c>
      <c r="T2251" t="str">
        <f>"14:54:20.328"</f>
        <v>14:54:20.328</v>
      </c>
      <c r="U2251" t="str">
        <f t="shared" si="111"/>
        <v>A0F928</v>
      </c>
      <c r="V2251">
        <v>0</v>
      </c>
      <c r="W2251">
        <v>0</v>
      </c>
      <c r="X2251">
        <v>2</v>
      </c>
      <c r="Z2251">
        <v>0</v>
      </c>
      <c r="AA2251">
        <v>9</v>
      </c>
      <c r="AB2251">
        <v>3</v>
      </c>
      <c r="AC2251">
        <v>0</v>
      </c>
      <c r="AD2251">
        <v>10</v>
      </c>
      <c r="AE2251">
        <v>0</v>
      </c>
      <c r="AF2251">
        <v>0</v>
      </c>
      <c r="AG2251">
        <v>2</v>
      </c>
      <c r="AH2251">
        <v>1</v>
      </c>
      <c r="AI2251" t="s">
        <v>624</v>
      </c>
      <c r="AJ2251">
        <v>35.838324999999998</v>
      </c>
      <c r="AK2251" t="s">
        <v>369</v>
      </c>
      <c r="AL2251">
        <v>-83.953914999999995</v>
      </c>
      <c r="AM2251">
        <v>25</v>
      </c>
      <c r="AN2251">
        <v>1000</v>
      </c>
      <c r="AO2251" t="s">
        <v>118</v>
      </c>
      <c r="AP2251">
        <v>-59</v>
      </c>
      <c r="AQ2251">
        <v>-68</v>
      </c>
      <c r="AR2251">
        <v>-704</v>
      </c>
      <c r="AZ2251">
        <v>300</v>
      </c>
      <c r="BA2251">
        <v>1</v>
      </c>
      <c r="BB2251" t="str">
        <f t="shared" si="110"/>
        <v xml:space="preserve">N162AM  </v>
      </c>
      <c r="BC2251">
        <v>1</v>
      </c>
      <c r="BE2251">
        <v>0</v>
      </c>
      <c r="BF2251">
        <v>0</v>
      </c>
      <c r="BG2251">
        <v>0</v>
      </c>
      <c r="BH2251">
        <v>1275</v>
      </c>
      <c r="BI2251">
        <v>1</v>
      </c>
      <c r="BJ2251">
        <v>1</v>
      </c>
      <c r="BK2251">
        <v>1</v>
      </c>
      <c r="BL2251">
        <v>0</v>
      </c>
      <c r="BO2251">
        <v>0</v>
      </c>
      <c r="BP2251">
        <v>0</v>
      </c>
      <c r="BW2251" t="str">
        <f>"14:54:20.833"</f>
        <v>14:54:20.833</v>
      </c>
      <c r="CJ2251">
        <v>2</v>
      </c>
      <c r="CK2251">
        <v>2</v>
      </c>
      <c r="CL2251">
        <v>0</v>
      </c>
      <c r="CM2251">
        <v>2</v>
      </c>
      <c r="CN2251">
        <v>0</v>
      </c>
      <c r="CO2251">
        <v>4</v>
      </c>
      <c r="CP2251" t="s">
        <v>119</v>
      </c>
      <c r="CQ2251">
        <v>232</v>
      </c>
      <c r="CR2251">
        <v>1</v>
      </c>
      <c r="CW2251">
        <v>15885426</v>
      </c>
      <c r="CY2251">
        <v>1</v>
      </c>
      <c r="CZ2251">
        <v>0</v>
      </c>
      <c r="DA2251">
        <v>1</v>
      </c>
      <c r="DB2251">
        <v>0</v>
      </c>
      <c r="DC2251">
        <v>0</v>
      </c>
      <c r="DD2251">
        <v>1</v>
      </c>
      <c r="DE2251">
        <v>0</v>
      </c>
      <c r="DF2251">
        <v>0</v>
      </c>
      <c r="DG2251">
        <v>0</v>
      </c>
      <c r="DH2251">
        <v>0</v>
      </c>
      <c r="DI2251">
        <v>0</v>
      </c>
    </row>
    <row r="2252" spans="1:113" x14ac:dyDescent="0.3">
      <c r="A2252" t="str">
        <f>"12/16/2021 14:54:21.024"</f>
        <v>12/16/2021 14:54:21.024</v>
      </c>
      <c r="C2252" t="str">
        <f t="shared" si="109"/>
        <v>FFDFD3C0</v>
      </c>
      <c r="D2252" t="s">
        <v>124</v>
      </c>
      <c r="E2252">
        <v>5</v>
      </c>
      <c r="F2252">
        <v>1005</v>
      </c>
      <c r="G2252" t="s">
        <v>114</v>
      </c>
      <c r="J2252" t="s">
        <v>125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>"14:54:20.828"</f>
        <v>14:54:20.828</v>
      </c>
      <c r="T2252" t="str">
        <f>"14:54:20.328"</f>
        <v>14:54:20.328</v>
      </c>
      <c r="U2252" t="str">
        <f t="shared" si="111"/>
        <v>A0F928</v>
      </c>
      <c r="V2252">
        <v>0</v>
      </c>
      <c r="W2252">
        <v>0</v>
      </c>
      <c r="X2252">
        <v>2</v>
      </c>
      <c r="Z2252">
        <v>0</v>
      </c>
      <c r="AA2252">
        <v>9</v>
      </c>
      <c r="AB2252">
        <v>3</v>
      </c>
      <c r="AC2252">
        <v>0</v>
      </c>
      <c r="AD2252">
        <v>10</v>
      </c>
      <c r="AE2252">
        <v>0</v>
      </c>
      <c r="AF2252">
        <v>3</v>
      </c>
      <c r="AG2252">
        <v>2</v>
      </c>
      <c r="AH2252">
        <v>1</v>
      </c>
      <c r="AI2252" t="s">
        <v>624</v>
      </c>
      <c r="AJ2252">
        <v>35.838324999999998</v>
      </c>
      <c r="AK2252" t="s">
        <v>369</v>
      </c>
      <c r="AL2252">
        <v>-83.953914999999995</v>
      </c>
      <c r="AM2252">
        <v>25</v>
      </c>
      <c r="AN2252">
        <v>1000</v>
      </c>
      <c r="AO2252" t="s">
        <v>118</v>
      </c>
      <c r="AP2252">
        <v>-59</v>
      </c>
      <c r="AQ2252">
        <v>-68</v>
      </c>
      <c r="AR2252">
        <v>-704</v>
      </c>
      <c r="AZ2252">
        <v>300</v>
      </c>
      <c r="BA2252">
        <v>1</v>
      </c>
      <c r="BB2252" t="str">
        <f t="shared" si="110"/>
        <v xml:space="preserve">N162AM  </v>
      </c>
      <c r="BC2252">
        <v>1</v>
      </c>
      <c r="BE2252">
        <v>0</v>
      </c>
      <c r="BF2252">
        <v>0</v>
      </c>
      <c r="BG2252">
        <v>0</v>
      </c>
      <c r="BH2252">
        <v>1275</v>
      </c>
      <c r="BI2252">
        <v>1</v>
      </c>
      <c r="BJ2252">
        <v>1</v>
      </c>
      <c r="BK2252">
        <v>1</v>
      </c>
      <c r="BL2252">
        <v>0</v>
      </c>
      <c r="BO2252">
        <v>0</v>
      </c>
      <c r="BP2252">
        <v>0</v>
      </c>
      <c r="BW2252" t="str">
        <f>"14:54:20.833"</f>
        <v>14:54:20.833</v>
      </c>
      <c r="CJ2252">
        <v>3</v>
      </c>
      <c r="CK2252">
        <v>2</v>
      </c>
      <c r="CL2252">
        <v>0</v>
      </c>
      <c r="CM2252">
        <v>2</v>
      </c>
      <c r="CN2252">
        <v>0</v>
      </c>
      <c r="CO2252">
        <v>4</v>
      </c>
      <c r="CP2252" t="s">
        <v>119</v>
      </c>
      <c r="CQ2252">
        <v>232</v>
      </c>
      <c r="CR2252">
        <v>1</v>
      </c>
      <c r="CW2252">
        <v>15885426</v>
      </c>
      <c r="CY2252">
        <v>1</v>
      </c>
      <c r="CZ2252">
        <v>0</v>
      </c>
      <c r="DA2252">
        <v>1</v>
      </c>
      <c r="DB2252">
        <v>0</v>
      </c>
      <c r="DC2252">
        <v>0</v>
      </c>
      <c r="DD2252">
        <v>1</v>
      </c>
      <c r="DE2252">
        <v>0</v>
      </c>
      <c r="DF2252">
        <v>0</v>
      </c>
      <c r="DG2252">
        <v>0</v>
      </c>
      <c r="DH2252">
        <v>0</v>
      </c>
      <c r="DI2252">
        <v>0</v>
      </c>
    </row>
    <row r="2253" spans="1:113" x14ac:dyDescent="0.3">
      <c r="A2253" t="str">
        <f>"12/16/2021 14:54:21.071"</f>
        <v>12/16/2021 14:54:21.071</v>
      </c>
      <c r="C2253" t="str">
        <f t="shared" si="109"/>
        <v>FFDFD3C0</v>
      </c>
      <c r="D2253" t="s">
        <v>133</v>
      </c>
      <c r="E2253">
        <v>44</v>
      </c>
      <c r="H2253">
        <v>131</v>
      </c>
      <c r="I2253" t="s">
        <v>134</v>
      </c>
      <c r="J2253" t="s">
        <v>135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>"14:54:20.828"</f>
        <v>14:54:20.828</v>
      </c>
      <c r="T2253" t="str">
        <f>"14:54:20.328"</f>
        <v>14:54:20.328</v>
      </c>
      <c r="U2253" t="str">
        <f t="shared" si="111"/>
        <v>A0F928</v>
      </c>
      <c r="V2253">
        <v>0</v>
      </c>
      <c r="W2253">
        <v>0</v>
      </c>
      <c r="X2253">
        <v>2</v>
      </c>
      <c r="Z2253">
        <v>0</v>
      </c>
      <c r="AA2253">
        <v>9</v>
      </c>
      <c r="AB2253">
        <v>3</v>
      </c>
      <c r="AC2253">
        <v>0</v>
      </c>
      <c r="AD2253">
        <v>10</v>
      </c>
      <c r="AE2253">
        <v>0</v>
      </c>
      <c r="AF2253">
        <v>3</v>
      </c>
      <c r="AG2253">
        <v>2</v>
      </c>
      <c r="AH2253">
        <v>1</v>
      </c>
      <c r="AI2253" t="s">
        <v>624</v>
      </c>
      <c r="AJ2253">
        <v>35.838324999999998</v>
      </c>
      <c r="AK2253" t="s">
        <v>369</v>
      </c>
      <c r="AL2253">
        <v>-83.953914999999995</v>
      </c>
      <c r="AM2253">
        <v>25</v>
      </c>
      <c r="AN2253">
        <v>1000</v>
      </c>
      <c r="AO2253" t="s">
        <v>118</v>
      </c>
      <c r="AP2253">
        <v>-59</v>
      </c>
      <c r="AQ2253">
        <v>-68</v>
      </c>
      <c r="AR2253">
        <v>-704</v>
      </c>
      <c r="AZ2253">
        <v>300</v>
      </c>
      <c r="BA2253">
        <v>1</v>
      </c>
      <c r="BB2253" t="str">
        <f t="shared" si="110"/>
        <v xml:space="preserve">N162AM  </v>
      </c>
      <c r="BC2253">
        <v>1</v>
      </c>
      <c r="BE2253">
        <v>0</v>
      </c>
      <c r="BF2253">
        <v>0</v>
      </c>
      <c r="BG2253">
        <v>0</v>
      </c>
      <c r="BH2253">
        <v>1275</v>
      </c>
      <c r="BI2253">
        <v>1</v>
      </c>
      <c r="BJ2253">
        <v>1</v>
      </c>
      <c r="BK2253">
        <v>1</v>
      </c>
      <c r="BL2253">
        <v>0</v>
      </c>
      <c r="BO2253">
        <v>0</v>
      </c>
      <c r="BP2253">
        <v>0</v>
      </c>
      <c r="BW2253" t="str">
        <f>"14:54:20.833"</f>
        <v>14:54:20.833</v>
      </c>
      <c r="CJ2253">
        <v>3</v>
      </c>
      <c r="CK2253">
        <v>2</v>
      </c>
      <c r="CL2253">
        <v>0</v>
      </c>
      <c r="CM2253">
        <v>2</v>
      </c>
      <c r="CN2253">
        <v>0</v>
      </c>
      <c r="CO2253">
        <v>4</v>
      </c>
      <c r="CP2253" t="s">
        <v>119</v>
      </c>
      <c r="CQ2253">
        <v>232</v>
      </c>
      <c r="CR2253">
        <v>1</v>
      </c>
      <c r="CW2253">
        <v>15885426</v>
      </c>
      <c r="CY2253">
        <v>1</v>
      </c>
      <c r="CZ2253">
        <v>0</v>
      </c>
      <c r="DA2253">
        <v>1</v>
      </c>
      <c r="DB2253">
        <v>0</v>
      </c>
      <c r="DC2253">
        <v>0</v>
      </c>
      <c r="DD2253">
        <v>1</v>
      </c>
      <c r="DE2253">
        <v>0</v>
      </c>
      <c r="DF2253">
        <v>0</v>
      </c>
      <c r="DG2253">
        <v>0</v>
      </c>
      <c r="DH2253">
        <v>0</v>
      </c>
      <c r="DI2253">
        <v>0</v>
      </c>
    </row>
    <row r="2254" spans="1:113" x14ac:dyDescent="0.3">
      <c r="A2254" t="str">
        <f>"12/16/2021 14:54:22.118"</f>
        <v>12/16/2021 14:54:22.118</v>
      </c>
      <c r="C2254" t="str">
        <f t="shared" si="109"/>
        <v>FFDFD3C0</v>
      </c>
      <c r="D2254" t="s">
        <v>124</v>
      </c>
      <c r="E2254">
        <v>5</v>
      </c>
      <c r="F2254">
        <v>1005</v>
      </c>
      <c r="G2254" t="s">
        <v>114</v>
      </c>
      <c r="J2254" t="s">
        <v>125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>"14:54:21.875"</f>
        <v>14:54:21.875</v>
      </c>
      <c r="T2254" t="str">
        <f>"14:54:21.375"</f>
        <v>14:54:21.375</v>
      </c>
      <c r="U2254" t="str">
        <f t="shared" si="111"/>
        <v>A0F928</v>
      </c>
      <c r="V2254">
        <v>0</v>
      </c>
      <c r="W2254">
        <v>0</v>
      </c>
      <c r="X2254">
        <v>2</v>
      </c>
      <c r="Z2254">
        <v>0</v>
      </c>
      <c r="AA2254">
        <v>9</v>
      </c>
      <c r="AB2254">
        <v>3</v>
      </c>
      <c r="AC2254">
        <v>0</v>
      </c>
      <c r="AD2254">
        <v>10</v>
      </c>
      <c r="AE2254">
        <v>0</v>
      </c>
      <c r="AF2254">
        <v>3</v>
      </c>
      <c r="AG2254">
        <v>2</v>
      </c>
      <c r="AH2254">
        <v>1</v>
      </c>
      <c r="AI2254" t="s">
        <v>1163</v>
      </c>
      <c r="AJ2254">
        <v>35.838003</v>
      </c>
      <c r="AK2254" t="s">
        <v>1164</v>
      </c>
      <c r="AL2254">
        <v>-83.954364999999996</v>
      </c>
      <c r="AM2254">
        <v>25</v>
      </c>
      <c r="AN2254">
        <v>1000</v>
      </c>
      <c r="AO2254" t="s">
        <v>118</v>
      </c>
      <c r="AP2254">
        <v>-66</v>
      </c>
      <c r="AQ2254">
        <v>-61</v>
      </c>
      <c r="AR2254">
        <v>-704</v>
      </c>
      <c r="AZ2254">
        <v>300</v>
      </c>
      <c r="BA2254">
        <v>1</v>
      </c>
      <c r="BB2254" t="str">
        <f t="shared" si="110"/>
        <v xml:space="preserve">N162AM  </v>
      </c>
      <c r="BC2254">
        <v>1</v>
      </c>
      <c r="BE2254">
        <v>0</v>
      </c>
      <c r="BF2254">
        <v>0</v>
      </c>
      <c r="BG2254">
        <v>0</v>
      </c>
      <c r="BH2254">
        <v>1250</v>
      </c>
      <c r="BI2254">
        <v>1</v>
      </c>
      <c r="BJ2254">
        <v>1</v>
      </c>
      <c r="BK2254">
        <v>1</v>
      </c>
      <c r="BL2254">
        <v>0</v>
      </c>
      <c r="BO2254">
        <v>0</v>
      </c>
      <c r="BP2254">
        <v>0</v>
      </c>
      <c r="BW2254" t="str">
        <f>"14:54:21.882"</f>
        <v>14:54:21.882</v>
      </c>
      <c r="CJ2254">
        <v>3</v>
      </c>
      <c r="CK2254">
        <v>2</v>
      </c>
      <c r="CL2254">
        <v>0</v>
      </c>
      <c r="CM2254">
        <v>2</v>
      </c>
      <c r="CN2254">
        <v>0</v>
      </c>
      <c r="CO2254">
        <v>1</v>
      </c>
      <c r="CP2254" t="s">
        <v>119</v>
      </c>
      <c r="CQ2254">
        <v>232</v>
      </c>
      <c r="CR2254">
        <v>1</v>
      </c>
      <c r="CW2254">
        <v>15886947</v>
      </c>
      <c r="CY2254">
        <v>1</v>
      </c>
      <c r="CZ2254">
        <v>0</v>
      </c>
      <c r="DA2254">
        <v>0</v>
      </c>
      <c r="DB2254">
        <v>0</v>
      </c>
      <c r="DC2254">
        <v>0</v>
      </c>
      <c r="DD2254">
        <v>1</v>
      </c>
      <c r="DE2254">
        <v>0</v>
      </c>
      <c r="DF2254">
        <v>0</v>
      </c>
      <c r="DG2254">
        <v>0</v>
      </c>
      <c r="DH2254">
        <v>0</v>
      </c>
      <c r="DI2254">
        <v>0</v>
      </c>
    </row>
    <row r="2255" spans="1:113" x14ac:dyDescent="0.3">
      <c r="A2255" t="str">
        <f>"12/16/2021 14:54:22.118"</f>
        <v>12/16/2021 14:54:22.118</v>
      </c>
      <c r="C2255" t="str">
        <f t="shared" si="109"/>
        <v>FFDFD3C0</v>
      </c>
      <c r="D2255" t="s">
        <v>133</v>
      </c>
      <c r="E2255">
        <v>44</v>
      </c>
      <c r="H2255">
        <v>131</v>
      </c>
      <c r="I2255" t="s">
        <v>134</v>
      </c>
      <c r="J2255" t="s">
        <v>135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>"14:54:21.875"</f>
        <v>14:54:21.875</v>
      </c>
      <c r="T2255" t="str">
        <f>"14:54:21.375"</f>
        <v>14:54:21.375</v>
      </c>
      <c r="U2255" t="str">
        <f t="shared" si="111"/>
        <v>A0F928</v>
      </c>
      <c r="V2255">
        <v>0</v>
      </c>
      <c r="W2255">
        <v>0</v>
      </c>
      <c r="X2255">
        <v>2</v>
      </c>
      <c r="Z2255">
        <v>0</v>
      </c>
      <c r="AA2255">
        <v>9</v>
      </c>
      <c r="AB2255">
        <v>3</v>
      </c>
      <c r="AC2255">
        <v>0</v>
      </c>
      <c r="AD2255">
        <v>10</v>
      </c>
      <c r="AE2255">
        <v>0</v>
      </c>
      <c r="AF2255">
        <v>3</v>
      </c>
      <c r="AG2255">
        <v>2</v>
      </c>
      <c r="AH2255">
        <v>1</v>
      </c>
      <c r="AI2255" t="s">
        <v>1163</v>
      </c>
      <c r="AJ2255">
        <v>35.838003</v>
      </c>
      <c r="AK2255" t="s">
        <v>1164</v>
      </c>
      <c r="AL2255">
        <v>-83.954364999999996</v>
      </c>
      <c r="AM2255">
        <v>25</v>
      </c>
      <c r="AN2255">
        <v>1000</v>
      </c>
      <c r="AO2255" t="s">
        <v>118</v>
      </c>
      <c r="AP2255">
        <v>-66</v>
      </c>
      <c r="AQ2255">
        <v>-61</v>
      </c>
      <c r="AR2255">
        <v>-704</v>
      </c>
      <c r="AZ2255">
        <v>300</v>
      </c>
      <c r="BA2255">
        <v>1</v>
      </c>
      <c r="BB2255" t="str">
        <f t="shared" si="110"/>
        <v xml:space="preserve">N162AM  </v>
      </c>
      <c r="BC2255">
        <v>1</v>
      </c>
      <c r="BE2255">
        <v>0</v>
      </c>
      <c r="BF2255">
        <v>0</v>
      </c>
      <c r="BG2255">
        <v>0</v>
      </c>
      <c r="BH2255">
        <v>1250</v>
      </c>
      <c r="BI2255">
        <v>1</v>
      </c>
      <c r="BJ2255">
        <v>1</v>
      </c>
      <c r="BK2255">
        <v>1</v>
      </c>
      <c r="BL2255">
        <v>0</v>
      </c>
      <c r="BO2255">
        <v>0</v>
      </c>
      <c r="BP2255">
        <v>0</v>
      </c>
      <c r="BW2255" t="str">
        <f>"14:54:21.882"</f>
        <v>14:54:21.882</v>
      </c>
      <c r="CJ2255">
        <v>3</v>
      </c>
      <c r="CK2255">
        <v>2</v>
      </c>
      <c r="CL2255">
        <v>0</v>
      </c>
      <c r="CM2255">
        <v>2</v>
      </c>
      <c r="CN2255">
        <v>0</v>
      </c>
      <c r="CO2255">
        <v>1</v>
      </c>
      <c r="CP2255" t="s">
        <v>119</v>
      </c>
      <c r="CQ2255">
        <v>232</v>
      </c>
      <c r="CR2255">
        <v>1</v>
      </c>
      <c r="CW2255">
        <v>15886947</v>
      </c>
      <c r="CY2255">
        <v>1</v>
      </c>
      <c r="CZ2255">
        <v>0</v>
      </c>
      <c r="DA2255">
        <v>1</v>
      </c>
      <c r="DB2255">
        <v>0</v>
      </c>
      <c r="DC2255">
        <v>0</v>
      </c>
      <c r="DD2255">
        <v>1</v>
      </c>
      <c r="DE2255">
        <v>0</v>
      </c>
      <c r="DF2255">
        <v>0</v>
      </c>
      <c r="DG2255">
        <v>0</v>
      </c>
      <c r="DH2255">
        <v>0</v>
      </c>
      <c r="DI2255">
        <v>0</v>
      </c>
    </row>
    <row r="2256" spans="1:113" x14ac:dyDescent="0.3">
      <c r="A2256" t="str">
        <f>"12/16/2021 14:54:22.118"</f>
        <v>12/16/2021 14:54:22.118</v>
      </c>
      <c r="C2256" t="str">
        <f t="shared" si="109"/>
        <v>FFDFD3C0</v>
      </c>
      <c r="D2256" t="s">
        <v>124</v>
      </c>
      <c r="E2256">
        <v>10</v>
      </c>
      <c r="F2256">
        <v>1010</v>
      </c>
      <c r="G2256" t="s">
        <v>130</v>
      </c>
      <c r="J2256" t="s">
        <v>125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>"14:54:21.875"</f>
        <v>14:54:21.875</v>
      </c>
      <c r="T2256" t="str">
        <f>"14:54:21.375"</f>
        <v>14:54:21.375</v>
      </c>
      <c r="U2256" t="str">
        <f t="shared" si="111"/>
        <v>A0F928</v>
      </c>
      <c r="V2256">
        <v>0</v>
      </c>
      <c r="W2256">
        <v>0</v>
      </c>
      <c r="X2256">
        <v>2</v>
      </c>
      <c r="Z2256">
        <v>0</v>
      </c>
      <c r="AA2256">
        <v>9</v>
      </c>
      <c r="AB2256">
        <v>3</v>
      </c>
      <c r="AC2256">
        <v>0</v>
      </c>
      <c r="AD2256">
        <v>10</v>
      </c>
      <c r="AE2256">
        <v>0</v>
      </c>
      <c r="AF2256">
        <v>0</v>
      </c>
      <c r="AG2256">
        <v>2</v>
      </c>
      <c r="AH2256">
        <v>1</v>
      </c>
      <c r="AI2256" t="s">
        <v>1163</v>
      </c>
      <c r="AJ2256">
        <v>35.838003</v>
      </c>
      <c r="AK2256" t="s">
        <v>1164</v>
      </c>
      <c r="AL2256">
        <v>-83.954364999999996</v>
      </c>
      <c r="AM2256">
        <v>25</v>
      </c>
      <c r="AN2256">
        <v>1000</v>
      </c>
      <c r="AO2256" t="s">
        <v>118</v>
      </c>
      <c r="AP2256">
        <v>-66</v>
      </c>
      <c r="AQ2256">
        <v>-61</v>
      </c>
      <c r="AR2256">
        <v>-704</v>
      </c>
      <c r="AZ2256">
        <v>300</v>
      </c>
      <c r="BA2256">
        <v>1</v>
      </c>
      <c r="BB2256" t="str">
        <f t="shared" si="110"/>
        <v xml:space="preserve">N162AM  </v>
      </c>
      <c r="BC2256">
        <v>1</v>
      </c>
      <c r="BE2256">
        <v>0</v>
      </c>
      <c r="BF2256">
        <v>0</v>
      </c>
      <c r="BG2256">
        <v>0</v>
      </c>
      <c r="BH2256">
        <v>1250</v>
      </c>
      <c r="BI2256">
        <v>1</v>
      </c>
      <c r="BJ2256">
        <v>1</v>
      </c>
      <c r="BK2256">
        <v>1</v>
      </c>
      <c r="BL2256">
        <v>0</v>
      </c>
      <c r="BO2256">
        <v>0</v>
      </c>
      <c r="BP2256">
        <v>0</v>
      </c>
      <c r="BW2256" t="str">
        <f>"14:54:21.882"</f>
        <v>14:54:21.882</v>
      </c>
      <c r="CJ2256">
        <v>2</v>
      </c>
      <c r="CK2256">
        <v>2</v>
      </c>
      <c r="CL2256">
        <v>0</v>
      </c>
      <c r="CM2256">
        <v>2</v>
      </c>
      <c r="CN2256">
        <v>0</v>
      </c>
      <c r="CO2256">
        <v>1</v>
      </c>
      <c r="CP2256" t="s">
        <v>119</v>
      </c>
      <c r="CQ2256">
        <v>232</v>
      </c>
      <c r="CR2256">
        <v>1</v>
      </c>
      <c r="CW2256">
        <v>15886947</v>
      </c>
      <c r="CY2256">
        <v>1</v>
      </c>
      <c r="CZ2256">
        <v>0</v>
      </c>
      <c r="DA2256">
        <v>1</v>
      </c>
      <c r="DB2256">
        <v>0</v>
      </c>
      <c r="DC2256">
        <v>0</v>
      </c>
      <c r="DD2256">
        <v>1</v>
      </c>
      <c r="DE2256">
        <v>0</v>
      </c>
      <c r="DF2256">
        <v>0</v>
      </c>
      <c r="DG2256">
        <v>0</v>
      </c>
      <c r="DH2256">
        <v>0</v>
      </c>
      <c r="DI2256">
        <v>0</v>
      </c>
    </row>
    <row r="2257" spans="1:113" x14ac:dyDescent="0.3">
      <c r="A2257" t="str">
        <f>"12/16/2021 14:54:22.134"</f>
        <v>12/16/2021 14:54:22.134</v>
      </c>
      <c r="C2257" t="str">
        <f t="shared" si="109"/>
        <v>FFDFD3C0</v>
      </c>
      <c r="D2257" t="s">
        <v>113</v>
      </c>
      <c r="E2257">
        <v>8</v>
      </c>
      <c r="H2257">
        <v>176</v>
      </c>
      <c r="I2257" t="s">
        <v>114</v>
      </c>
      <c r="J2257" t="s">
        <v>115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>"14:54:21.875"</f>
        <v>14:54:21.875</v>
      </c>
      <c r="T2257" t="str">
        <f>"14:54:21.375"</f>
        <v>14:54:21.375</v>
      </c>
      <c r="U2257" t="str">
        <f t="shared" si="111"/>
        <v>A0F928</v>
      </c>
      <c r="V2257">
        <v>0</v>
      </c>
      <c r="W2257">
        <v>0</v>
      </c>
      <c r="X2257">
        <v>2</v>
      </c>
      <c r="Z2257">
        <v>0</v>
      </c>
      <c r="AA2257">
        <v>9</v>
      </c>
      <c r="AB2257">
        <v>3</v>
      </c>
      <c r="AC2257">
        <v>0</v>
      </c>
      <c r="AD2257">
        <v>10</v>
      </c>
      <c r="AE2257">
        <v>0</v>
      </c>
      <c r="AF2257">
        <v>3</v>
      </c>
      <c r="AG2257">
        <v>2</v>
      </c>
      <c r="AH2257">
        <v>1</v>
      </c>
      <c r="AI2257" t="s">
        <v>1163</v>
      </c>
      <c r="AJ2257">
        <v>35.838003</v>
      </c>
      <c r="AK2257" t="s">
        <v>1164</v>
      </c>
      <c r="AL2257">
        <v>-83.954364999999996</v>
      </c>
      <c r="AM2257">
        <v>25</v>
      </c>
      <c r="AN2257">
        <v>1000</v>
      </c>
      <c r="AO2257" t="s">
        <v>118</v>
      </c>
      <c r="AP2257">
        <v>-66</v>
      </c>
      <c r="AQ2257">
        <v>-61</v>
      </c>
      <c r="AR2257">
        <v>-704</v>
      </c>
      <c r="AZ2257">
        <v>300</v>
      </c>
      <c r="BA2257">
        <v>1</v>
      </c>
      <c r="BB2257" t="str">
        <f t="shared" si="110"/>
        <v xml:space="preserve">N162AM  </v>
      </c>
      <c r="BC2257">
        <v>1</v>
      </c>
      <c r="BE2257">
        <v>0</v>
      </c>
      <c r="BF2257">
        <v>0</v>
      </c>
      <c r="BG2257">
        <v>0</v>
      </c>
      <c r="BH2257">
        <v>1250</v>
      </c>
      <c r="BI2257">
        <v>1</v>
      </c>
      <c r="BJ2257">
        <v>1</v>
      </c>
      <c r="BK2257">
        <v>1</v>
      </c>
      <c r="BL2257">
        <v>0</v>
      </c>
      <c r="BO2257">
        <v>0</v>
      </c>
      <c r="BP2257">
        <v>0</v>
      </c>
      <c r="BW2257" t="str">
        <f>"14:54:21.882"</f>
        <v>14:54:21.882</v>
      </c>
      <c r="CJ2257">
        <v>3</v>
      </c>
      <c r="CK2257">
        <v>2</v>
      </c>
      <c r="CL2257">
        <v>0</v>
      </c>
      <c r="CM2257">
        <v>2</v>
      </c>
      <c r="CN2257">
        <v>0</v>
      </c>
      <c r="CO2257">
        <v>1</v>
      </c>
      <c r="CP2257" t="s">
        <v>119</v>
      </c>
      <c r="CQ2257">
        <v>232</v>
      </c>
      <c r="CR2257">
        <v>1</v>
      </c>
      <c r="CW2257">
        <v>15886947</v>
      </c>
      <c r="CY2257">
        <v>1</v>
      </c>
      <c r="CZ2257">
        <v>0</v>
      </c>
      <c r="DA2257">
        <v>1</v>
      </c>
      <c r="DB2257">
        <v>0</v>
      </c>
      <c r="DC2257">
        <v>0</v>
      </c>
      <c r="DD2257">
        <v>1</v>
      </c>
      <c r="DE2257">
        <v>0</v>
      </c>
      <c r="DF2257">
        <v>0</v>
      </c>
      <c r="DG2257">
        <v>0</v>
      </c>
      <c r="DH2257">
        <v>0</v>
      </c>
      <c r="DI2257">
        <v>0</v>
      </c>
    </row>
    <row r="2258" spans="1:113" x14ac:dyDescent="0.3">
      <c r="A2258" t="str">
        <f>"12/16/2021 14:54:23.243"</f>
        <v>12/16/2021 14:54:23.243</v>
      </c>
      <c r="C2258" t="str">
        <f t="shared" si="109"/>
        <v>FFDFD3C0</v>
      </c>
      <c r="D2258" t="s">
        <v>113</v>
      </c>
      <c r="E2258">
        <v>8</v>
      </c>
      <c r="H2258">
        <v>176</v>
      </c>
      <c r="I2258" t="s">
        <v>114</v>
      </c>
      <c r="J2258" t="s">
        <v>115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>"14:54:23.031"</f>
        <v>14:54:23.031</v>
      </c>
      <c r="T2258" t="str">
        <f>"14:54:22.531"</f>
        <v>14:54:22.531</v>
      </c>
      <c r="U2258" t="str">
        <f t="shared" si="111"/>
        <v>A0F928</v>
      </c>
      <c r="V2258">
        <v>0</v>
      </c>
      <c r="W2258">
        <v>0</v>
      </c>
      <c r="X2258">
        <v>2</v>
      </c>
      <c r="Z2258">
        <v>0</v>
      </c>
      <c r="AA2258">
        <v>9</v>
      </c>
      <c r="AB2258">
        <v>3</v>
      </c>
      <c r="AC2258">
        <v>0</v>
      </c>
      <c r="AD2258">
        <v>10</v>
      </c>
      <c r="AE2258">
        <v>0</v>
      </c>
      <c r="AF2258">
        <v>3</v>
      </c>
      <c r="AG2258">
        <v>2</v>
      </c>
      <c r="AH2258">
        <v>1</v>
      </c>
      <c r="AI2258" t="s">
        <v>1165</v>
      </c>
      <c r="AJ2258">
        <v>35.837724000000001</v>
      </c>
      <c r="AK2258" t="s">
        <v>525</v>
      </c>
      <c r="AL2258">
        <v>-83.954836999999998</v>
      </c>
      <c r="AM2258">
        <v>25</v>
      </c>
      <c r="AN2258">
        <v>1000</v>
      </c>
      <c r="AO2258" t="s">
        <v>118</v>
      </c>
      <c r="AP2258">
        <v>-72</v>
      </c>
      <c r="AQ2258">
        <v>-55</v>
      </c>
      <c r="AR2258">
        <v>-640</v>
      </c>
      <c r="AZ2258">
        <v>300</v>
      </c>
      <c r="BA2258">
        <v>1</v>
      </c>
      <c r="BB2258" t="str">
        <f t="shared" si="110"/>
        <v xml:space="preserve">N162AM  </v>
      </c>
      <c r="BC2258">
        <v>1</v>
      </c>
      <c r="BE2258">
        <v>0</v>
      </c>
      <c r="BF2258">
        <v>0</v>
      </c>
      <c r="BG2258">
        <v>0</v>
      </c>
      <c r="BH2258">
        <v>1250</v>
      </c>
      <c r="BI2258">
        <v>1</v>
      </c>
      <c r="BJ2258">
        <v>1</v>
      </c>
      <c r="BK2258">
        <v>1</v>
      </c>
      <c r="BL2258">
        <v>0</v>
      </c>
      <c r="BO2258">
        <v>0</v>
      </c>
      <c r="BP2258">
        <v>0</v>
      </c>
      <c r="BW2258" t="str">
        <f>"14:54:23.037"</f>
        <v>14:54:23.037</v>
      </c>
      <c r="CJ2258">
        <v>3</v>
      </c>
      <c r="CK2258">
        <v>2</v>
      </c>
      <c r="CL2258">
        <v>0</v>
      </c>
      <c r="CM2258">
        <v>2</v>
      </c>
      <c r="CN2258">
        <v>0</v>
      </c>
      <c r="CO2258">
        <v>5</v>
      </c>
      <c r="CP2258" t="s">
        <v>119</v>
      </c>
      <c r="CQ2258">
        <v>232</v>
      </c>
      <c r="CR2258">
        <v>1</v>
      </c>
      <c r="CW2258">
        <v>15888597</v>
      </c>
      <c r="CY2258">
        <v>1</v>
      </c>
      <c r="CZ2258">
        <v>0</v>
      </c>
      <c r="DA2258">
        <v>0</v>
      </c>
      <c r="DB2258">
        <v>0</v>
      </c>
      <c r="DC2258">
        <v>0</v>
      </c>
      <c r="DD2258">
        <v>1</v>
      </c>
      <c r="DE2258">
        <v>0</v>
      </c>
      <c r="DF2258">
        <v>0</v>
      </c>
      <c r="DG2258">
        <v>0</v>
      </c>
      <c r="DH2258">
        <v>0</v>
      </c>
      <c r="DI2258">
        <v>0</v>
      </c>
    </row>
    <row r="2259" spans="1:113" x14ac:dyDescent="0.3">
      <c r="A2259" t="str">
        <f>"12/16/2021 14:54:23.274"</f>
        <v>12/16/2021 14:54:23.274</v>
      </c>
      <c r="C2259" t="str">
        <f t="shared" si="109"/>
        <v>FFDFD3C0</v>
      </c>
      <c r="D2259" t="s">
        <v>124</v>
      </c>
      <c r="E2259">
        <v>5</v>
      </c>
      <c r="F2259">
        <v>1005</v>
      </c>
      <c r="G2259" t="s">
        <v>114</v>
      </c>
      <c r="J2259" t="s">
        <v>125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>"14:54:23.031"</f>
        <v>14:54:23.031</v>
      </c>
      <c r="T2259" t="str">
        <f>"14:54:22.531"</f>
        <v>14:54:22.531</v>
      </c>
      <c r="U2259" t="str">
        <f t="shared" si="111"/>
        <v>A0F928</v>
      </c>
      <c r="V2259">
        <v>0</v>
      </c>
      <c r="W2259">
        <v>0</v>
      </c>
      <c r="X2259">
        <v>2</v>
      </c>
      <c r="Z2259">
        <v>0</v>
      </c>
      <c r="AA2259">
        <v>9</v>
      </c>
      <c r="AB2259">
        <v>3</v>
      </c>
      <c r="AC2259">
        <v>0</v>
      </c>
      <c r="AD2259">
        <v>10</v>
      </c>
      <c r="AE2259">
        <v>0</v>
      </c>
      <c r="AF2259">
        <v>3</v>
      </c>
      <c r="AG2259">
        <v>2</v>
      </c>
      <c r="AH2259">
        <v>1</v>
      </c>
      <c r="AI2259" t="s">
        <v>1165</v>
      </c>
      <c r="AJ2259">
        <v>35.837724000000001</v>
      </c>
      <c r="AK2259" t="s">
        <v>525</v>
      </c>
      <c r="AL2259">
        <v>-83.954836999999998</v>
      </c>
      <c r="AM2259">
        <v>25</v>
      </c>
      <c r="AN2259">
        <v>1000</v>
      </c>
      <c r="AO2259" t="s">
        <v>118</v>
      </c>
      <c r="AP2259">
        <v>-72</v>
      </c>
      <c r="AQ2259">
        <v>-55</v>
      </c>
      <c r="AR2259">
        <v>-640</v>
      </c>
      <c r="AZ2259">
        <v>300</v>
      </c>
      <c r="BA2259">
        <v>1</v>
      </c>
      <c r="BB2259" t="str">
        <f t="shared" si="110"/>
        <v xml:space="preserve">N162AM  </v>
      </c>
      <c r="BC2259">
        <v>1</v>
      </c>
      <c r="BE2259">
        <v>0</v>
      </c>
      <c r="BF2259">
        <v>0</v>
      </c>
      <c r="BG2259">
        <v>0</v>
      </c>
      <c r="BH2259">
        <v>1250</v>
      </c>
      <c r="BI2259">
        <v>1</v>
      </c>
      <c r="BJ2259">
        <v>1</v>
      </c>
      <c r="BK2259">
        <v>1</v>
      </c>
      <c r="BL2259">
        <v>0</v>
      </c>
      <c r="BO2259">
        <v>0</v>
      </c>
      <c r="BP2259">
        <v>0</v>
      </c>
      <c r="BW2259" t="str">
        <f>"14:54:23.037"</f>
        <v>14:54:23.037</v>
      </c>
      <c r="CJ2259">
        <v>3</v>
      </c>
      <c r="CK2259">
        <v>2</v>
      </c>
      <c r="CL2259">
        <v>0</v>
      </c>
      <c r="CM2259">
        <v>2</v>
      </c>
      <c r="CN2259">
        <v>0</v>
      </c>
      <c r="CO2259">
        <v>5</v>
      </c>
      <c r="CP2259" t="s">
        <v>119</v>
      </c>
      <c r="CQ2259">
        <v>232</v>
      </c>
      <c r="CR2259">
        <v>1</v>
      </c>
      <c r="CW2259">
        <v>15888597</v>
      </c>
      <c r="CY2259">
        <v>1</v>
      </c>
      <c r="CZ2259">
        <v>0</v>
      </c>
      <c r="DA2259">
        <v>1</v>
      </c>
      <c r="DB2259">
        <v>0</v>
      </c>
      <c r="DC2259">
        <v>0</v>
      </c>
      <c r="DD2259">
        <v>1</v>
      </c>
      <c r="DE2259">
        <v>0</v>
      </c>
      <c r="DF2259">
        <v>0</v>
      </c>
      <c r="DG2259">
        <v>0</v>
      </c>
      <c r="DH2259">
        <v>0</v>
      </c>
      <c r="DI2259">
        <v>0</v>
      </c>
    </row>
    <row r="2260" spans="1:113" x14ac:dyDescent="0.3">
      <c r="A2260" t="str">
        <f>"12/16/2021 14:54:23.274"</f>
        <v>12/16/2021 14:54:23.274</v>
      </c>
      <c r="C2260" t="str">
        <f t="shared" si="109"/>
        <v>FFDFD3C0</v>
      </c>
      <c r="D2260" t="s">
        <v>124</v>
      </c>
      <c r="E2260">
        <v>10</v>
      </c>
      <c r="F2260">
        <v>1010</v>
      </c>
      <c r="G2260" t="s">
        <v>130</v>
      </c>
      <c r="J2260" t="s">
        <v>125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>"14:54:23.031"</f>
        <v>14:54:23.031</v>
      </c>
      <c r="T2260" t="str">
        <f>"14:54:22.531"</f>
        <v>14:54:22.531</v>
      </c>
      <c r="U2260" t="str">
        <f t="shared" si="111"/>
        <v>A0F928</v>
      </c>
      <c r="V2260">
        <v>0</v>
      </c>
      <c r="W2260">
        <v>0</v>
      </c>
      <c r="X2260">
        <v>2</v>
      </c>
      <c r="Z2260">
        <v>0</v>
      </c>
      <c r="AA2260">
        <v>9</v>
      </c>
      <c r="AB2260">
        <v>3</v>
      </c>
      <c r="AC2260">
        <v>0</v>
      </c>
      <c r="AD2260">
        <v>10</v>
      </c>
      <c r="AE2260">
        <v>0</v>
      </c>
      <c r="AF2260">
        <v>0</v>
      </c>
      <c r="AG2260">
        <v>2</v>
      </c>
      <c r="AH2260">
        <v>1</v>
      </c>
      <c r="AI2260" t="s">
        <v>1165</v>
      </c>
      <c r="AJ2260">
        <v>35.837724000000001</v>
      </c>
      <c r="AK2260" t="s">
        <v>525</v>
      </c>
      <c r="AL2260">
        <v>-83.954836999999998</v>
      </c>
      <c r="AM2260">
        <v>25</v>
      </c>
      <c r="AN2260">
        <v>1000</v>
      </c>
      <c r="AO2260" t="s">
        <v>118</v>
      </c>
      <c r="AP2260">
        <v>-72</v>
      </c>
      <c r="AQ2260">
        <v>-55</v>
      </c>
      <c r="AR2260">
        <v>-640</v>
      </c>
      <c r="AZ2260">
        <v>300</v>
      </c>
      <c r="BA2260">
        <v>1</v>
      </c>
      <c r="BB2260" t="str">
        <f t="shared" si="110"/>
        <v xml:space="preserve">N162AM  </v>
      </c>
      <c r="BC2260">
        <v>1</v>
      </c>
      <c r="BE2260">
        <v>0</v>
      </c>
      <c r="BF2260">
        <v>0</v>
      </c>
      <c r="BG2260">
        <v>0</v>
      </c>
      <c r="BH2260">
        <v>1250</v>
      </c>
      <c r="BI2260">
        <v>1</v>
      </c>
      <c r="BJ2260">
        <v>1</v>
      </c>
      <c r="BK2260">
        <v>1</v>
      </c>
      <c r="BL2260">
        <v>0</v>
      </c>
      <c r="BO2260">
        <v>0</v>
      </c>
      <c r="BP2260">
        <v>0</v>
      </c>
      <c r="BW2260" t="str">
        <f>"14:54:23.037"</f>
        <v>14:54:23.037</v>
      </c>
      <c r="CJ2260">
        <v>2</v>
      </c>
      <c r="CK2260">
        <v>2</v>
      </c>
      <c r="CL2260">
        <v>0</v>
      </c>
      <c r="CM2260">
        <v>2</v>
      </c>
      <c r="CN2260">
        <v>0</v>
      </c>
      <c r="CO2260">
        <v>5</v>
      </c>
      <c r="CP2260" t="s">
        <v>119</v>
      </c>
      <c r="CQ2260">
        <v>232</v>
      </c>
      <c r="CR2260">
        <v>1</v>
      </c>
      <c r="CW2260">
        <v>15888597</v>
      </c>
      <c r="CY2260">
        <v>1</v>
      </c>
      <c r="CZ2260">
        <v>0</v>
      </c>
      <c r="DA2260">
        <v>1</v>
      </c>
      <c r="DB2260">
        <v>0</v>
      </c>
      <c r="DC2260">
        <v>0</v>
      </c>
      <c r="DD2260">
        <v>1</v>
      </c>
      <c r="DE2260">
        <v>0</v>
      </c>
      <c r="DF2260">
        <v>0</v>
      </c>
      <c r="DG2260">
        <v>0</v>
      </c>
      <c r="DH2260">
        <v>0</v>
      </c>
      <c r="DI2260">
        <v>0</v>
      </c>
    </row>
    <row r="2261" spans="1:113" x14ac:dyDescent="0.3">
      <c r="A2261" t="str">
        <f>"12/16/2021 14:54:23.274"</f>
        <v>12/16/2021 14:54:23.274</v>
      </c>
      <c r="C2261" t="str">
        <f t="shared" si="109"/>
        <v>FFDFD3C0</v>
      </c>
      <c r="D2261" t="s">
        <v>133</v>
      </c>
      <c r="E2261">
        <v>44</v>
      </c>
      <c r="H2261">
        <v>131</v>
      </c>
      <c r="I2261" t="s">
        <v>134</v>
      </c>
      <c r="J2261" t="s">
        <v>135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>"14:54:23.031"</f>
        <v>14:54:23.031</v>
      </c>
      <c r="T2261" t="str">
        <f>"14:54:22.531"</f>
        <v>14:54:22.531</v>
      </c>
      <c r="U2261" t="str">
        <f t="shared" si="111"/>
        <v>A0F928</v>
      </c>
      <c r="V2261">
        <v>0</v>
      </c>
      <c r="W2261">
        <v>0</v>
      </c>
      <c r="X2261">
        <v>2</v>
      </c>
      <c r="Z2261">
        <v>0</v>
      </c>
      <c r="AA2261">
        <v>9</v>
      </c>
      <c r="AB2261">
        <v>3</v>
      </c>
      <c r="AC2261">
        <v>0</v>
      </c>
      <c r="AD2261">
        <v>10</v>
      </c>
      <c r="AE2261">
        <v>0</v>
      </c>
      <c r="AF2261">
        <v>3</v>
      </c>
      <c r="AG2261">
        <v>2</v>
      </c>
      <c r="AH2261">
        <v>1</v>
      </c>
      <c r="AI2261" t="s">
        <v>1165</v>
      </c>
      <c r="AJ2261">
        <v>35.837724000000001</v>
      </c>
      <c r="AK2261" t="s">
        <v>525</v>
      </c>
      <c r="AL2261">
        <v>-83.954836999999998</v>
      </c>
      <c r="AM2261">
        <v>25</v>
      </c>
      <c r="AN2261">
        <v>1000</v>
      </c>
      <c r="AO2261" t="s">
        <v>118</v>
      </c>
      <c r="AP2261">
        <v>-72</v>
      </c>
      <c r="AQ2261">
        <v>-55</v>
      </c>
      <c r="AR2261">
        <v>-640</v>
      </c>
      <c r="AZ2261">
        <v>300</v>
      </c>
      <c r="BA2261">
        <v>1</v>
      </c>
      <c r="BB2261" t="str">
        <f t="shared" si="110"/>
        <v xml:space="preserve">N162AM  </v>
      </c>
      <c r="BC2261">
        <v>1</v>
      </c>
      <c r="BE2261">
        <v>0</v>
      </c>
      <c r="BF2261">
        <v>0</v>
      </c>
      <c r="BG2261">
        <v>0</v>
      </c>
      <c r="BH2261">
        <v>1250</v>
      </c>
      <c r="BI2261">
        <v>1</v>
      </c>
      <c r="BJ2261">
        <v>1</v>
      </c>
      <c r="BK2261">
        <v>1</v>
      </c>
      <c r="BL2261">
        <v>0</v>
      </c>
      <c r="BO2261">
        <v>0</v>
      </c>
      <c r="BP2261">
        <v>0</v>
      </c>
      <c r="BW2261" t="str">
        <f>"14:54:23.037"</f>
        <v>14:54:23.037</v>
      </c>
      <c r="CJ2261">
        <v>3</v>
      </c>
      <c r="CK2261">
        <v>2</v>
      </c>
      <c r="CL2261">
        <v>0</v>
      </c>
      <c r="CM2261">
        <v>2</v>
      </c>
      <c r="CN2261">
        <v>0</v>
      </c>
      <c r="CO2261">
        <v>5</v>
      </c>
      <c r="CP2261" t="s">
        <v>119</v>
      </c>
      <c r="CQ2261">
        <v>232</v>
      </c>
      <c r="CR2261">
        <v>1</v>
      </c>
      <c r="CW2261">
        <v>15888597</v>
      </c>
      <c r="CY2261">
        <v>1</v>
      </c>
      <c r="CZ2261">
        <v>0</v>
      </c>
      <c r="DA2261">
        <v>1</v>
      </c>
      <c r="DB2261">
        <v>0</v>
      </c>
      <c r="DC2261">
        <v>0</v>
      </c>
      <c r="DD2261">
        <v>1</v>
      </c>
      <c r="DE2261">
        <v>0</v>
      </c>
      <c r="DF2261">
        <v>0</v>
      </c>
      <c r="DG2261">
        <v>0</v>
      </c>
      <c r="DH2261">
        <v>0</v>
      </c>
      <c r="DI2261">
        <v>0</v>
      </c>
    </row>
    <row r="2262" spans="1:113" x14ac:dyDescent="0.3">
      <c r="A2262" t="str">
        <f>"12/16/2021 14:54:24.134"</f>
        <v>12/16/2021 14:54:24.134</v>
      </c>
      <c r="C2262" t="str">
        <f t="shared" si="109"/>
        <v>FFDFD3C0</v>
      </c>
      <c r="D2262" t="s">
        <v>124</v>
      </c>
      <c r="E2262">
        <v>5</v>
      </c>
      <c r="F2262">
        <v>1005</v>
      </c>
      <c r="G2262" t="s">
        <v>114</v>
      </c>
      <c r="J2262" t="s">
        <v>125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>"14:54:23.922"</f>
        <v>14:54:23.922</v>
      </c>
      <c r="T2262" t="str">
        <f>"14:54:23.522"</f>
        <v>14:54:23.522</v>
      </c>
      <c r="U2262" t="str">
        <f t="shared" si="111"/>
        <v>A0F928</v>
      </c>
      <c r="V2262">
        <v>0</v>
      </c>
      <c r="W2262">
        <v>0</v>
      </c>
      <c r="X2262">
        <v>2</v>
      </c>
      <c r="Z2262">
        <v>0</v>
      </c>
      <c r="AA2262">
        <v>9</v>
      </c>
      <c r="AB2262">
        <v>3</v>
      </c>
      <c r="AC2262">
        <v>0</v>
      </c>
      <c r="AD2262">
        <v>10</v>
      </c>
      <c r="AE2262">
        <v>0</v>
      </c>
      <c r="AF2262">
        <v>3</v>
      </c>
      <c r="AG2262">
        <v>2</v>
      </c>
      <c r="AH2262">
        <v>1</v>
      </c>
      <c r="AI2262" t="s">
        <v>1166</v>
      </c>
      <c r="AJ2262">
        <v>35.837553</v>
      </c>
      <c r="AK2262" t="s">
        <v>1167</v>
      </c>
      <c r="AL2262">
        <v>-83.955245000000005</v>
      </c>
      <c r="AM2262">
        <v>25</v>
      </c>
      <c r="AN2262">
        <v>975</v>
      </c>
      <c r="AO2262" t="s">
        <v>118</v>
      </c>
      <c r="AP2262">
        <v>-77</v>
      </c>
      <c r="AQ2262">
        <v>-49</v>
      </c>
      <c r="AR2262">
        <v>-640</v>
      </c>
      <c r="AZ2262">
        <v>300</v>
      </c>
      <c r="BA2262">
        <v>1</v>
      </c>
      <c r="BB2262" t="str">
        <f t="shared" si="110"/>
        <v xml:space="preserve">N162AM  </v>
      </c>
      <c r="BC2262">
        <v>1</v>
      </c>
      <c r="BE2262">
        <v>0</v>
      </c>
      <c r="BF2262">
        <v>0</v>
      </c>
      <c r="BG2262">
        <v>0</v>
      </c>
      <c r="BH2262">
        <v>1250</v>
      </c>
      <c r="BI2262">
        <v>1</v>
      </c>
      <c r="BJ2262">
        <v>1</v>
      </c>
      <c r="BK2262">
        <v>1</v>
      </c>
      <c r="BL2262">
        <v>0</v>
      </c>
      <c r="BO2262">
        <v>0</v>
      </c>
      <c r="BP2262">
        <v>0</v>
      </c>
      <c r="BW2262" t="str">
        <f>"14:54:23.923"</f>
        <v>14:54:23.923</v>
      </c>
      <c r="CJ2262">
        <v>3</v>
      </c>
      <c r="CK2262">
        <v>2</v>
      </c>
      <c r="CL2262">
        <v>0</v>
      </c>
      <c r="CM2262">
        <v>2</v>
      </c>
      <c r="CN2262">
        <v>0</v>
      </c>
      <c r="CO2262">
        <v>4</v>
      </c>
      <c r="CP2262" t="s">
        <v>119</v>
      </c>
      <c r="CQ2262">
        <v>232</v>
      </c>
      <c r="CR2262">
        <v>1</v>
      </c>
      <c r="CW2262">
        <v>15889889</v>
      </c>
      <c r="CY2262">
        <v>1</v>
      </c>
      <c r="CZ2262">
        <v>0</v>
      </c>
      <c r="DA2262">
        <v>0</v>
      </c>
      <c r="DB2262">
        <v>0</v>
      </c>
      <c r="DC2262">
        <v>0</v>
      </c>
      <c r="DD2262">
        <v>1</v>
      </c>
      <c r="DE2262">
        <v>0</v>
      </c>
      <c r="DF2262">
        <v>0</v>
      </c>
      <c r="DG2262">
        <v>0</v>
      </c>
      <c r="DH2262">
        <v>0</v>
      </c>
      <c r="DI2262">
        <v>0</v>
      </c>
    </row>
    <row r="2263" spans="1:113" x14ac:dyDescent="0.3">
      <c r="A2263" t="str">
        <f>"12/16/2021 14:54:24.134"</f>
        <v>12/16/2021 14:54:24.134</v>
      </c>
      <c r="C2263" t="str">
        <f t="shared" si="109"/>
        <v>FFDFD3C0</v>
      </c>
      <c r="D2263" t="s">
        <v>133</v>
      </c>
      <c r="E2263">
        <v>44</v>
      </c>
      <c r="H2263">
        <v>131</v>
      </c>
      <c r="I2263" t="s">
        <v>134</v>
      </c>
      <c r="J2263" t="s">
        <v>135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>"14:54:23.922"</f>
        <v>14:54:23.922</v>
      </c>
      <c r="T2263" t="str">
        <f>"14:54:23.522"</f>
        <v>14:54:23.522</v>
      </c>
      <c r="U2263" t="str">
        <f t="shared" si="111"/>
        <v>A0F928</v>
      </c>
      <c r="V2263">
        <v>0</v>
      </c>
      <c r="W2263">
        <v>0</v>
      </c>
      <c r="X2263">
        <v>2</v>
      </c>
      <c r="Z2263">
        <v>0</v>
      </c>
      <c r="AA2263">
        <v>9</v>
      </c>
      <c r="AB2263">
        <v>3</v>
      </c>
      <c r="AC2263">
        <v>0</v>
      </c>
      <c r="AD2263">
        <v>10</v>
      </c>
      <c r="AE2263">
        <v>0</v>
      </c>
      <c r="AF2263">
        <v>3</v>
      </c>
      <c r="AG2263">
        <v>2</v>
      </c>
      <c r="AH2263">
        <v>1</v>
      </c>
      <c r="AI2263" t="s">
        <v>1166</v>
      </c>
      <c r="AJ2263">
        <v>35.837553</v>
      </c>
      <c r="AK2263" t="s">
        <v>1167</v>
      </c>
      <c r="AL2263">
        <v>-83.955245000000005</v>
      </c>
      <c r="AM2263">
        <v>25</v>
      </c>
      <c r="AN2263">
        <v>975</v>
      </c>
      <c r="AO2263" t="s">
        <v>118</v>
      </c>
      <c r="AP2263">
        <v>-77</v>
      </c>
      <c r="AQ2263">
        <v>-49</v>
      </c>
      <c r="AR2263">
        <v>-640</v>
      </c>
      <c r="AZ2263">
        <v>300</v>
      </c>
      <c r="BA2263">
        <v>1</v>
      </c>
      <c r="BB2263" t="str">
        <f t="shared" si="110"/>
        <v xml:space="preserve">N162AM  </v>
      </c>
      <c r="BC2263">
        <v>1</v>
      </c>
      <c r="BE2263">
        <v>0</v>
      </c>
      <c r="BF2263">
        <v>0</v>
      </c>
      <c r="BG2263">
        <v>0</v>
      </c>
      <c r="BH2263">
        <v>1250</v>
      </c>
      <c r="BI2263">
        <v>1</v>
      </c>
      <c r="BJ2263">
        <v>1</v>
      </c>
      <c r="BK2263">
        <v>1</v>
      </c>
      <c r="BL2263">
        <v>0</v>
      </c>
      <c r="BO2263">
        <v>0</v>
      </c>
      <c r="BP2263">
        <v>0</v>
      </c>
      <c r="BW2263" t="str">
        <f>"14:54:23.923"</f>
        <v>14:54:23.923</v>
      </c>
      <c r="CJ2263">
        <v>3</v>
      </c>
      <c r="CK2263">
        <v>2</v>
      </c>
      <c r="CL2263">
        <v>0</v>
      </c>
      <c r="CM2263">
        <v>2</v>
      </c>
      <c r="CN2263">
        <v>0</v>
      </c>
      <c r="CO2263">
        <v>4</v>
      </c>
      <c r="CP2263" t="s">
        <v>119</v>
      </c>
      <c r="CQ2263">
        <v>232</v>
      </c>
      <c r="CR2263">
        <v>1</v>
      </c>
      <c r="CW2263">
        <v>15889889</v>
      </c>
      <c r="CY2263">
        <v>1</v>
      </c>
      <c r="CZ2263">
        <v>0</v>
      </c>
      <c r="DA2263">
        <v>1</v>
      </c>
      <c r="DB2263">
        <v>0</v>
      </c>
      <c r="DC2263">
        <v>0</v>
      </c>
      <c r="DD2263">
        <v>1</v>
      </c>
      <c r="DE2263">
        <v>0</v>
      </c>
      <c r="DF2263">
        <v>0</v>
      </c>
      <c r="DG2263">
        <v>0</v>
      </c>
      <c r="DH2263">
        <v>0</v>
      </c>
      <c r="DI2263">
        <v>0</v>
      </c>
    </row>
    <row r="2264" spans="1:113" x14ac:dyDescent="0.3">
      <c r="A2264" t="str">
        <f>"12/16/2021 14:54:24.181"</f>
        <v>12/16/2021 14:54:24.181</v>
      </c>
      <c r="C2264" t="str">
        <f t="shared" si="109"/>
        <v>FFDFD3C0</v>
      </c>
      <c r="D2264" t="s">
        <v>113</v>
      </c>
      <c r="E2264">
        <v>8</v>
      </c>
      <c r="H2264">
        <v>176</v>
      </c>
      <c r="I2264" t="s">
        <v>114</v>
      </c>
      <c r="J2264" t="s">
        <v>115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>"14:54:23.922"</f>
        <v>14:54:23.922</v>
      </c>
      <c r="T2264" t="str">
        <f>"14:54:23.522"</f>
        <v>14:54:23.522</v>
      </c>
      <c r="U2264" t="str">
        <f t="shared" si="111"/>
        <v>A0F928</v>
      </c>
      <c r="V2264">
        <v>0</v>
      </c>
      <c r="W2264">
        <v>0</v>
      </c>
      <c r="X2264">
        <v>2</v>
      </c>
      <c r="Z2264">
        <v>0</v>
      </c>
      <c r="AA2264">
        <v>9</v>
      </c>
      <c r="AB2264">
        <v>3</v>
      </c>
      <c r="AC2264">
        <v>0</v>
      </c>
      <c r="AD2264">
        <v>10</v>
      </c>
      <c r="AE2264">
        <v>0</v>
      </c>
      <c r="AF2264">
        <v>3</v>
      </c>
      <c r="AG2264">
        <v>2</v>
      </c>
      <c r="AH2264">
        <v>1</v>
      </c>
      <c r="AI2264" t="s">
        <v>1166</v>
      </c>
      <c r="AJ2264">
        <v>35.837553</v>
      </c>
      <c r="AK2264" t="s">
        <v>1167</v>
      </c>
      <c r="AL2264">
        <v>-83.955245000000005</v>
      </c>
      <c r="AM2264">
        <v>25</v>
      </c>
      <c r="AN2264">
        <v>975</v>
      </c>
      <c r="AO2264" t="s">
        <v>118</v>
      </c>
      <c r="AP2264">
        <v>-77</v>
      </c>
      <c r="AQ2264">
        <v>-49</v>
      </c>
      <c r="AR2264">
        <v>-640</v>
      </c>
      <c r="AZ2264">
        <v>300</v>
      </c>
      <c r="BA2264">
        <v>1</v>
      </c>
      <c r="BB2264" t="str">
        <f t="shared" si="110"/>
        <v xml:space="preserve">N162AM  </v>
      </c>
      <c r="BC2264">
        <v>1</v>
      </c>
      <c r="BE2264">
        <v>0</v>
      </c>
      <c r="BF2264">
        <v>0</v>
      </c>
      <c r="BG2264">
        <v>0</v>
      </c>
      <c r="BH2264">
        <v>1250</v>
      </c>
      <c r="BI2264">
        <v>1</v>
      </c>
      <c r="BJ2264">
        <v>1</v>
      </c>
      <c r="BK2264">
        <v>1</v>
      </c>
      <c r="BL2264">
        <v>0</v>
      </c>
      <c r="BO2264">
        <v>0</v>
      </c>
      <c r="BP2264">
        <v>0</v>
      </c>
      <c r="BW2264" t="str">
        <f>"14:54:23.923"</f>
        <v>14:54:23.923</v>
      </c>
      <c r="CJ2264">
        <v>3</v>
      </c>
      <c r="CK2264">
        <v>2</v>
      </c>
      <c r="CL2264">
        <v>0</v>
      </c>
      <c r="CM2264">
        <v>2</v>
      </c>
      <c r="CN2264">
        <v>0</v>
      </c>
      <c r="CO2264">
        <v>4</v>
      </c>
      <c r="CP2264" t="s">
        <v>119</v>
      </c>
      <c r="CQ2264">
        <v>232</v>
      </c>
      <c r="CR2264">
        <v>1</v>
      </c>
      <c r="CW2264">
        <v>15889889</v>
      </c>
      <c r="CY2264">
        <v>1</v>
      </c>
      <c r="CZ2264">
        <v>0</v>
      </c>
      <c r="DA2264">
        <v>1</v>
      </c>
      <c r="DB2264">
        <v>0</v>
      </c>
      <c r="DC2264">
        <v>0</v>
      </c>
      <c r="DD2264">
        <v>1</v>
      </c>
      <c r="DE2264">
        <v>0</v>
      </c>
      <c r="DF2264">
        <v>0</v>
      </c>
      <c r="DG2264">
        <v>0</v>
      </c>
      <c r="DH2264">
        <v>0</v>
      </c>
      <c r="DI2264">
        <v>0</v>
      </c>
    </row>
    <row r="2265" spans="1:113" x14ac:dyDescent="0.3">
      <c r="A2265" t="str">
        <f>"12/16/2021 14:54:24.181"</f>
        <v>12/16/2021 14:54:24.181</v>
      </c>
      <c r="C2265" t="str">
        <f t="shared" si="109"/>
        <v>FFDFD3C0</v>
      </c>
      <c r="D2265" t="s">
        <v>124</v>
      </c>
      <c r="E2265">
        <v>10</v>
      </c>
      <c r="F2265">
        <v>1010</v>
      </c>
      <c r="G2265" t="s">
        <v>130</v>
      </c>
      <c r="J2265" t="s">
        <v>125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>"14:54:23.922"</f>
        <v>14:54:23.922</v>
      </c>
      <c r="T2265" t="str">
        <f>"14:54:23.522"</f>
        <v>14:54:23.522</v>
      </c>
      <c r="U2265" t="str">
        <f t="shared" si="111"/>
        <v>A0F928</v>
      </c>
      <c r="V2265">
        <v>0</v>
      </c>
      <c r="W2265">
        <v>0</v>
      </c>
      <c r="X2265">
        <v>2</v>
      </c>
      <c r="Z2265">
        <v>0</v>
      </c>
      <c r="AA2265">
        <v>9</v>
      </c>
      <c r="AB2265">
        <v>3</v>
      </c>
      <c r="AC2265">
        <v>0</v>
      </c>
      <c r="AD2265">
        <v>10</v>
      </c>
      <c r="AE2265">
        <v>0</v>
      </c>
      <c r="AF2265">
        <v>0</v>
      </c>
      <c r="AG2265">
        <v>2</v>
      </c>
      <c r="AH2265">
        <v>1</v>
      </c>
      <c r="AI2265" t="s">
        <v>1166</v>
      </c>
      <c r="AJ2265">
        <v>35.837553</v>
      </c>
      <c r="AK2265" t="s">
        <v>1167</v>
      </c>
      <c r="AL2265">
        <v>-83.955245000000005</v>
      </c>
      <c r="AM2265">
        <v>25</v>
      </c>
      <c r="AN2265">
        <v>975</v>
      </c>
      <c r="AO2265" t="s">
        <v>118</v>
      </c>
      <c r="AP2265">
        <v>-77</v>
      </c>
      <c r="AQ2265">
        <v>-49</v>
      </c>
      <c r="AR2265">
        <v>-640</v>
      </c>
      <c r="AZ2265">
        <v>300</v>
      </c>
      <c r="BA2265">
        <v>1</v>
      </c>
      <c r="BB2265" t="str">
        <f t="shared" si="110"/>
        <v xml:space="preserve">N162AM  </v>
      </c>
      <c r="BC2265">
        <v>1</v>
      </c>
      <c r="BE2265">
        <v>0</v>
      </c>
      <c r="BF2265">
        <v>0</v>
      </c>
      <c r="BG2265">
        <v>0</v>
      </c>
      <c r="BH2265">
        <v>1250</v>
      </c>
      <c r="BI2265">
        <v>1</v>
      </c>
      <c r="BJ2265">
        <v>1</v>
      </c>
      <c r="BK2265">
        <v>1</v>
      </c>
      <c r="BL2265">
        <v>0</v>
      </c>
      <c r="BO2265">
        <v>0</v>
      </c>
      <c r="BP2265">
        <v>0</v>
      </c>
      <c r="BW2265" t="str">
        <f>"14:54:23.923"</f>
        <v>14:54:23.923</v>
      </c>
      <c r="CJ2265">
        <v>2</v>
      </c>
      <c r="CK2265">
        <v>2</v>
      </c>
      <c r="CL2265">
        <v>0</v>
      </c>
      <c r="CM2265">
        <v>2</v>
      </c>
      <c r="CN2265">
        <v>0</v>
      </c>
      <c r="CO2265">
        <v>4</v>
      </c>
      <c r="CP2265" t="s">
        <v>119</v>
      </c>
      <c r="CQ2265">
        <v>232</v>
      </c>
      <c r="CR2265">
        <v>1</v>
      </c>
      <c r="CW2265">
        <v>15889889</v>
      </c>
      <c r="CY2265">
        <v>1</v>
      </c>
      <c r="CZ2265">
        <v>0</v>
      </c>
      <c r="DA2265">
        <v>1</v>
      </c>
      <c r="DB2265">
        <v>0</v>
      </c>
      <c r="DC2265">
        <v>0</v>
      </c>
      <c r="DD2265">
        <v>1</v>
      </c>
      <c r="DE2265">
        <v>0</v>
      </c>
      <c r="DF2265">
        <v>0</v>
      </c>
      <c r="DG2265">
        <v>0</v>
      </c>
      <c r="DH2265">
        <v>0</v>
      </c>
      <c r="DI2265">
        <v>0</v>
      </c>
    </row>
    <row r="2266" spans="1:113" x14ac:dyDescent="0.3">
      <c r="A2266" t="str">
        <f>"12/16/2021 14:54:25.283"</f>
        <v>12/16/2021 14:54:25.283</v>
      </c>
      <c r="C2266" t="str">
        <f t="shared" si="109"/>
        <v>FFDFD3C0</v>
      </c>
      <c r="D2266" t="s">
        <v>113</v>
      </c>
      <c r="E2266">
        <v>8</v>
      </c>
      <c r="H2266">
        <v>176</v>
      </c>
      <c r="I2266" t="s">
        <v>114</v>
      </c>
      <c r="J2266" t="s">
        <v>115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>"14:54:25.039"</f>
        <v>14:54:25.039</v>
      </c>
      <c r="T2266" t="str">
        <f>"14:54:23.939"</f>
        <v>14:54:23.939</v>
      </c>
      <c r="U2266" t="str">
        <f t="shared" si="111"/>
        <v>A0F928</v>
      </c>
      <c r="V2266">
        <v>0</v>
      </c>
      <c r="W2266">
        <v>0</v>
      </c>
      <c r="X2266">
        <v>2</v>
      </c>
      <c r="Z2266">
        <v>0</v>
      </c>
      <c r="AA2266">
        <v>9</v>
      </c>
      <c r="AB2266">
        <v>3</v>
      </c>
      <c r="AC2266">
        <v>0</v>
      </c>
      <c r="AD2266">
        <v>10</v>
      </c>
      <c r="AE2266">
        <v>0</v>
      </c>
      <c r="AF2266">
        <v>3</v>
      </c>
      <c r="AG2266">
        <v>2</v>
      </c>
      <c r="AH2266">
        <v>1</v>
      </c>
      <c r="AI2266" t="s">
        <v>1168</v>
      </c>
      <c r="AJ2266">
        <v>35.837316999999999</v>
      </c>
      <c r="AK2266" t="s">
        <v>1169</v>
      </c>
      <c r="AL2266">
        <v>-83.955738999999994</v>
      </c>
      <c r="AM2266">
        <v>25</v>
      </c>
      <c r="AN2266">
        <v>975</v>
      </c>
      <c r="AO2266" t="s">
        <v>118</v>
      </c>
      <c r="AP2266">
        <v>-79</v>
      </c>
      <c r="AQ2266">
        <v>-48</v>
      </c>
      <c r="AR2266">
        <v>-640</v>
      </c>
      <c r="AZ2266">
        <v>300</v>
      </c>
      <c r="BA2266">
        <v>1</v>
      </c>
      <c r="BB2266" t="str">
        <f t="shared" si="110"/>
        <v xml:space="preserve">N162AM  </v>
      </c>
      <c r="BC2266">
        <v>1</v>
      </c>
      <c r="BE2266">
        <v>0</v>
      </c>
      <c r="BF2266">
        <v>0</v>
      </c>
      <c r="BG2266">
        <v>0</v>
      </c>
      <c r="BH2266">
        <v>1225</v>
      </c>
      <c r="BI2266">
        <v>1</v>
      </c>
      <c r="BJ2266">
        <v>1</v>
      </c>
      <c r="BK2266">
        <v>1</v>
      </c>
      <c r="BL2266">
        <v>0</v>
      </c>
      <c r="BO2266">
        <v>0</v>
      </c>
      <c r="BP2266">
        <v>0</v>
      </c>
      <c r="BW2266" t="str">
        <f>"14:54:25.044"</f>
        <v>14:54:25.044</v>
      </c>
      <c r="CJ2266">
        <v>3</v>
      </c>
      <c r="CK2266">
        <v>2</v>
      </c>
      <c r="CL2266">
        <v>0</v>
      </c>
      <c r="CM2266">
        <v>2</v>
      </c>
      <c r="CN2266">
        <v>0</v>
      </c>
      <c r="CO2266">
        <v>3</v>
      </c>
      <c r="CP2266" t="s">
        <v>119</v>
      </c>
      <c r="CQ2266">
        <v>232</v>
      </c>
      <c r="CR2266">
        <v>2</v>
      </c>
      <c r="CW2266">
        <v>7115757</v>
      </c>
      <c r="CY2266">
        <v>1</v>
      </c>
      <c r="CZ2266">
        <v>0</v>
      </c>
      <c r="DA2266">
        <v>0</v>
      </c>
      <c r="DB2266">
        <v>0</v>
      </c>
      <c r="DC2266">
        <v>0</v>
      </c>
      <c r="DD2266">
        <v>1</v>
      </c>
      <c r="DE2266">
        <v>0</v>
      </c>
      <c r="DF2266">
        <v>0</v>
      </c>
      <c r="DG2266">
        <v>0</v>
      </c>
      <c r="DH2266">
        <v>0</v>
      </c>
      <c r="DI2266">
        <v>0</v>
      </c>
    </row>
    <row r="2267" spans="1:113" x14ac:dyDescent="0.3">
      <c r="A2267" t="str">
        <f>"12/16/2021 14:54:25.283"</f>
        <v>12/16/2021 14:54:25.283</v>
      </c>
      <c r="C2267" t="str">
        <f t="shared" si="109"/>
        <v>FFDFD3C0</v>
      </c>
      <c r="D2267" t="s">
        <v>124</v>
      </c>
      <c r="E2267">
        <v>5</v>
      </c>
      <c r="F2267">
        <v>1005</v>
      </c>
      <c r="G2267" t="s">
        <v>114</v>
      </c>
      <c r="J2267" t="s">
        <v>125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>"14:54:25.039"</f>
        <v>14:54:25.039</v>
      </c>
      <c r="T2267" t="str">
        <f>"14:54:23.939"</f>
        <v>14:54:23.939</v>
      </c>
      <c r="U2267" t="str">
        <f t="shared" si="111"/>
        <v>A0F928</v>
      </c>
      <c r="V2267">
        <v>0</v>
      </c>
      <c r="W2267">
        <v>0</v>
      </c>
      <c r="X2267">
        <v>2</v>
      </c>
      <c r="Z2267">
        <v>0</v>
      </c>
      <c r="AA2267">
        <v>9</v>
      </c>
      <c r="AB2267">
        <v>3</v>
      </c>
      <c r="AC2267">
        <v>0</v>
      </c>
      <c r="AD2267">
        <v>10</v>
      </c>
      <c r="AE2267">
        <v>0</v>
      </c>
      <c r="AF2267">
        <v>3</v>
      </c>
      <c r="AG2267">
        <v>2</v>
      </c>
      <c r="AH2267">
        <v>1</v>
      </c>
      <c r="AI2267" t="s">
        <v>1168</v>
      </c>
      <c r="AJ2267">
        <v>35.837316999999999</v>
      </c>
      <c r="AK2267" t="s">
        <v>1169</v>
      </c>
      <c r="AL2267">
        <v>-83.955738999999994</v>
      </c>
      <c r="AM2267">
        <v>25</v>
      </c>
      <c r="AN2267">
        <v>975</v>
      </c>
      <c r="AO2267" t="s">
        <v>118</v>
      </c>
      <c r="AP2267">
        <v>-79</v>
      </c>
      <c r="AQ2267">
        <v>-48</v>
      </c>
      <c r="AR2267">
        <v>-640</v>
      </c>
      <c r="AZ2267">
        <v>300</v>
      </c>
      <c r="BA2267">
        <v>1</v>
      </c>
      <c r="BB2267" t="str">
        <f t="shared" si="110"/>
        <v xml:space="preserve">N162AM  </v>
      </c>
      <c r="BC2267">
        <v>1</v>
      </c>
      <c r="BE2267">
        <v>0</v>
      </c>
      <c r="BF2267">
        <v>0</v>
      </c>
      <c r="BG2267">
        <v>0</v>
      </c>
      <c r="BH2267">
        <v>1225</v>
      </c>
      <c r="BI2267">
        <v>1</v>
      </c>
      <c r="BJ2267">
        <v>1</v>
      </c>
      <c r="BK2267">
        <v>1</v>
      </c>
      <c r="BL2267">
        <v>0</v>
      </c>
      <c r="BO2267">
        <v>0</v>
      </c>
      <c r="BP2267">
        <v>0</v>
      </c>
      <c r="BW2267" t="str">
        <f>"14:54:25.044"</f>
        <v>14:54:25.044</v>
      </c>
      <c r="CJ2267">
        <v>3</v>
      </c>
      <c r="CK2267">
        <v>2</v>
      </c>
      <c r="CL2267">
        <v>0</v>
      </c>
      <c r="CM2267">
        <v>2</v>
      </c>
      <c r="CN2267">
        <v>0</v>
      </c>
      <c r="CO2267">
        <v>3</v>
      </c>
      <c r="CP2267" t="s">
        <v>119</v>
      </c>
      <c r="CQ2267">
        <v>232</v>
      </c>
      <c r="CR2267">
        <v>2</v>
      </c>
      <c r="CW2267">
        <v>7115757</v>
      </c>
      <c r="CY2267">
        <v>1</v>
      </c>
      <c r="CZ2267">
        <v>0</v>
      </c>
      <c r="DA2267">
        <v>1</v>
      </c>
      <c r="DB2267">
        <v>0</v>
      </c>
      <c r="DC2267">
        <v>0</v>
      </c>
      <c r="DD2267">
        <v>1</v>
      </c>
      <c r="DE2267">
        <v>0</v>
      </c>
      <c r="DF2267">
        <v>0</v>
      </c>
      <c r="DG2267">
        <v>0</v>
      </c>
      <c r="DH2267">
        <v>0</v>
      </c>
      <c r="DI2267">
        <v>0</v>
      </c>
    </row>
    <row r="2268" spans="1:113" x14ac:dyDescent="0.3">
      <c r="A2268" t="str">
        <f>"12/16/2021 14:54:25.283"</f>
        <v>12/16/2021 14:54:25.283</v>
      </c>
      <c r="C2268" t="str">
        <f t="shared" si="109"/>
        <v>FFDFD3C0</v>
      </c>
      <c r="D2268" t="s">
        <v>124</v>
      </c>
      <c r="E2268">
        <v>10</v>
      </c>
      <c r="F2268">
        <v>1010</v>
      </c>
      <c r="G2268" t="s">
        <v>130</v>
      </c>
      <c r="J2268" t="s">
        <v>125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>"14:54:25.039"</f>
        <v>14:54:25.039</v>
      </c>
      <c r="T2268" t="str">
        <f>"14:54:23.939"</f>
        <v>14:54:23.939</v>
      </c>
      <c r="U2268" t="str">
        <f t="shared" si="111"/>
        <v>A0F928</v>
      </c>
      <c r="V2268">
        <v>0</v>
      </c>
      <c r="W2268">
        <v>0</v>
      </c>
      <c r="X2268">
        <v>2</v>
      </c>
      <c r="Z2268">
        <v>0</v>
      </c>
      <c r="AA2268">
        <v>9</v>
      </c>
      <c r="AB2268">
        <v>3</v>
      </c>
      <c r="AC2268">
        <v>0</v>
      </c>
      <c r="AD2268">
        <v>10</v>
      </c>
      <c r="AE2268">
        <v>0</v>
      </c>
      <c r="AF2268">
        <v>0</v>
      </c>
      <c r="AG2268">
        <v>2</v>
      </c>
      <c r="AH2268">
        <v>1</v>
      </c>
      <c r="AI2268" t="s">
        <v>1168</v>
      </c>
      <c r="AJ2268">
        <v>35.837316999999999</v>
      </c>
      <c r="AK2268" t="s">
        <v>1169</v>
      </c>
      <c r="AL2268">
        <v>-83.955738999999994</v>
      </c>
      <c r="AM2268">
        <v>25</v>
      </c>
      <c r="AN2268">
        <v>975</v>
      </c>
      <c r="AO2268" t="s">
        <v>118</v>
      </c>
      <c r="AP2268">
        <v>-79</v>
      </c>
      <c r="AQ2268">
        <v>-48</v>
      </c>
      <c r="AR2268">
        <v>-640</v>
      </c>
      <c r="AZ2268">
        <v>300</v>
      </c>
      <c r="BA2268">
        <v>1</v>
      </c>
      <c r="BB2268" t="str">
        <f t="shared" si="110"/>
        <v xml:space="preserve">N162AM  </v>
      </c>
      <c r="BC2268">
        <v>1</v>
      </c>
      <c r="BE2268">
        <v>0</v>
      </c>
      <c r="BF2268">
        <v>0</v>
      </c>
      <c r="BG2268">
        <v>0</v>
      </c>
      <c r="BH2268">
        <v>1225</v>
      </c>
      <c r="BI2268">
        <v>1</v>
      </c>
      <c r="BJ2268">
        <v>1</v>
      </c>
      <c r="BK2268">
        <v>1</v>
      </c>
      <c r="BL2268">
        <v>0</v>
      </c>
      <c r="BO2268">
        <v>0</v>
      </c>
      <c r="BP2268">
        <v>0</v>
      </c>
      <c r="BW2268" t="str">
        <f>"14:54:25.044"</f>
        <v>14:54:25.044</v>
      </c>
      <c r="CJ2268">
        <v>2</v>
      </c>
      <c r="CK2268">
        <v>2</v>
      </c>
      <c r="CL2268">
        <v>0</v>
      </c>
      <c r="CM2268">
        <v>2</v>
      </c>
      <c r="CN2268">
        <v>0</v>
      </c>
      <c r="CO2268">
        <v>3</v>
      </c>
      <c r="CP2268" t="s">
        <v>119</v>
      </c>
      <c r="CQ2268">
        <v>232</v>
      </c>
      <c r="CR2268">
        <v>2</v>
      </c>
      <c r="CW2268">
        <v>7115757</v>
      </c>
      <c r="CY2268">
        <v>1</v>
      </c>
      <c r="CZ2268">
        <v>0</v>
      </c>
      <c r="DA2268">
        <v>1</v>
      </c>
      <c r="DB2268">
        <v>0</v>
      </c>
      <c r="DC2268">
        <v>0</v>
      </c>
      <c r="DD2268">
        <v>1</v>
      </c>
      <c r="DE2268">
        <v>0</v>
      </c>
      <c r="DF2268">
        <v>0</v>
      </c>
      <c r="DG2268">
        <v>0</v>
      </c>
      <c r="DH2268">
        <v>0</v>
      </c>
      <c r="DI2268">
        <v>0</v>
      </c>
    </row>
    <row r="2269" spans="1:113" x14ac:dyDescent="0.3">
      <c r="A2269" t="str">
        <f>"12/16/2021 14:54:25.330"</f>
        <v>12/16/2021 14:54:25.330</v>
      </c>
      <c r="C2269" t="str">
        <f t="shared" si="109"/>
        <v>FFDFD3C0</v>
      </c>
      <c r="D2269" t="s">
        <v>133</v>
      </c>
      <c r="E2269">
        <v>44</v>
      </c>
      <c r="H2269">
        <v>131</v>
      </c>
      <c r="I2269" t="s">
        <v>134</v>
      </c>
      <c r="J2269" t="s">
        <v>135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>"14:54:25.039"</f>
        <v>14:54:25.039</v>
      </c>
      <c r="T2269" t="str">
        <f>"14:54:23.939"</f>
        <v>14:54:23.939</v>
      </c>
      <c r="U2269" t="str">
        <f t="shared" si="111"/>
        <v>A0F928</v>
      </c>
      <c r="V2269">
        <v>0</v>
      </c>
      <c r="W2269">
        <v>0</v>
      </c>
      <c r="X2269">
        <v>2</v>
      </c>
      <c r="Z2269">
        <v>0</v>
      </c>
      <c r="AA2269">
        <v>9</v>
      </c>
      <c r="AB2269">
        <v>3</v>
      </c>
      <c r="AC2269">
        <v>0</v>
      </c>
      <c r="AD2269">
        <v>10</v>
      </c>
      <c r="AE2269">
        <v>0</v>
      </c>
      <c r="AF2269">
        <v>3</v>
      </c>
      <c r="AG2269">
        <v>2</v>
      </c>
      <c r="AH2269">
        <v>1</v>
      </c>
      <c r="AI2269" t="s">
        <v>1168</v>
      </c>
      <c r="AJ2269">
        <v>35.837316999999999</v>
      </c>
      <c r="AK2269" t="s">
        <v>1169</v>
      </c>
      <c r="AL2269">
        <v>-83.955738999999994</v>
      </c>
      <c r="AM2269">
        <v>25</v>
      </c>
      <c r="AN2269">
        <v>975</v>
      </c>
      <c r="AO2269" t="s">
        <v>118</v>
      </c>
      <c r="AP2269">
        <v>-79</v>
      </c>
      <c r="AQ2269">
        <v>-48</v>
      </c>
      <c r="AR2269">
        <v>-640</v>
      </c>
      <c r="AZ2269">
        <v>300</v>
      </c>
      <c r="BA2269">
        <v>1</v>
      </c>
      <c r="BB2269" t="str">
        <f t="shared" si="110"/>
        <v xml:space="preserve">N162AM  </v>
      </c>
      <c r="BC2269">
        <v>1</v>
      </c>
      <c r="BE2269">
        <v>0</v>
      </c>
      <c r="BF2269">
        <v>0</v>
      </c>
      <c r="BG2269">
        <v>0</v>
      </c>
      <c r="BH2269">
        <v>1225</v>
      </c>
      <c r="BI2269">
        <v>1</v>
      </c>
      <c r="BJ2269">
        <v>1</v>
      </c>
      <c r="BK2269">
        <v>1</v>
      </c>
      <c r="BL2269">
        <v>0</v>
      </c>
      <c r="BO2269">
        <v>0</v>
      </c>
      <c r="BP2269">
        <v>0</v>
      </c>
      <c r="BW2269" t="str">
        <f>"14:54:25.044"</f>
        <v>14:54:25.044</v>
      </c>
      <c r="CJ2269">
        <v>3</v>
      </c>
      <c r="CK2269">
        <v>2</v>
      </c>
      <c r="CL2269">
        <v>0</v>
      </c>
      <c r="CM2269">
        <v>2</v>
      </c>
      <c r="CN2269">
        <v>0</v>
      </c>
      <c r="CO2269">
        <v>3</v>
      </c>
      <c r="CP2269" t="s">
        <v>119</v>
      </c>
      <c r="CQ2269">
        <v>232</v>
      </c>
      <c r="CR2269">
        <v>2</v>
      </c>
      <c r="CW2269">
        <v>7115757</v>
      </c>
      <c r="CY2269">
        <v>1</v>
      </c>
      <c r="CZ2269">
        <v>0</v>
      </c>
      <c r="DA2269">
        <v>1</v>
      </c>
      <c r="DB2269">
        <v>0</v>
      </c>
      <c r="DC2269">
        <v>0</v>
      </c>
      <c r="DD2269">
        <v>1</v>
      </c>
      <c r="DE2269">
        <v>0</v>
      </c>
      <c r="DF2269">
        <v>0</v>
      </c>
      <c r="DG2269">
        <v>0</v>
      </c>
      <c r="DH2269">
        <v>0</v>
      </c>
      <c r="DI2269">
        <v>0</v>
      </c>
    </row>
    <row r="2270" spans="1:113" x14ac:dyDescent="0.3">
      <c r="A2270" t="str">
        <f>"12/16/2021 14:54:26.158"</f>
        <v>12/16/2021 14:54:26.158</v>
      </c>
      <c r="C2270" t="str">
        <f t="shared" si="109"/>
        <v>FFDFD3C0</v>
      </c>
      <c r="D2270" t="s">
        <v>133</v>
      </c>
      <c r="E2270">
        <v>44</v>
      </c>
      <c r="H2270">
        <v>131</v>
      </c>
      <c r="I2270" t="s">
        <v>134</v>
      </c>
      <c r="J2270" t="s">
        <v>135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>"14:54:25.945"</f>
        <v>14:54:25.945</v>
      </c>
      <c r="T2270" t="str">
        <f>"14:54:25.545"</f>
        <v>14:54:25.545</v>
      </c>
      <c r="U2270" t="str">
        <f t="shared" si="111"/>
        <v>A0F928</v>
      </c>
      <c r="V2270">
        <v>0</v>
      </c>
      <c r="W2270">
        <v>0</v>
      </c>
      <c r="X2270">
        <v>2</v>
      </c>
      <c r="Z2270">
        <v>0</v>
      </c>
      <c r="AA2270">
        <v>9</v>
      </c>
      <c r="AB2270">
        <v>3</v>
      </c>
      <c r="AC2270">
        <v>0</v>
      </c>
      <c r="AD2270">
        <v>10</v>
      </c>
      <c r="AE2270">
        <v>0</v>
      </c>
      <c r="AF2270">
        <v>3</v>
      </c>
      <c r="AG2270">
        <v>2</v>
      </c>
      <c r="AH2270">
        <v>1</v>
      </c>
      <c r="AI2270" t="s">
        <v>619</v>
      </c>
      <c r="AJ2270">
        <v>35.837122999999998</v>
      </c>
      <c r="AK2270" t="s">
        <v>1170</v>
      </c>
      <c r="AL2270">
        <v>-83.956125</v>
      </c>
      <c r="AM2270">
        <v>25</v>
      </c>
      <c r="AN2270">
        <v>950</v>
      </c>
      <c r="AO2270" t="s">
        <v>118</v>
      </c>
      <c r="AP2270">
        <v>-82</v>
      </c>
      <c r="AQ2270">
        <v>-45</v>
      </c>
      <c r="AR2270">
        <v>-448</v>
      </c>
      <c r="AZ2270">
        <v>300</v>
      </c>
      <c r="BA2270">
        <v>1</v>
      </c>
      <c r="BB2270" t="str">
        <f t="shared" si="110"/>
        <v xml:space="preserve">N162AM  </v>
      </c>
      <c r="BC2270">
        <v>1</v>
      </c>
      <c r="BE2270">
        <v>0</v>
      </c>
      <c r="BF2270">
        <v>0</v>
      </c>
      <c r="BG2270">
        <v>0</v>
      </c>
      <c r="BH2270">
        <v>1225</v>
      </c>
      <c r="BI2270">
        <v>1</v>
      </c>
      <c r="BJ2270">
        <v>1</v>
      </c>
      <c r="BK2270">
        <v>1</v>
      </c>
      <c r="BL2270">
        <v>0</v>
      </c>
      <c r="BO2270">
        <v>0</v>
      </c>
      <c r="BP2270">
        <v>0</v>
      </c>
      <c r="BW2270" t="str">
        <f>"14:54:25.950"</f>
        <v>14:54:25.950</v>
      </c>
      <c r="CJ2270">
        <v>3</v>
      </c>
      <c r="CK2270">
        <v>2</v>
      </c>
      <c r="CL2270">
        <v>0</v>
      </c>
      <c r="CM2270">
        <v>2</v>
      </c>
      <c r="CN2270">
        <v>0</v>
      </c>
      <c r="CO2270">
        <v>4</v>
      </c>
      <c r="CP2270" t="s">
        <v>119</v>
      </c>
      <c r="CQ2270">
        <v>232</v>
      </c>
      <c r="CR2270">
        <v>1</v>
      </c>
      <c r="CW2270">
        <v>15892819</v>
      </c>
      <c r="CY2270">
        <v>1</v>
      </c>
      <c r="CZ2270">
        <v>0</v>
      </c>
      <c r="DA2270">
        <v>0</v>
      </c>
      <c r="DB2270">
        <v>0</v>
      </c>
      <c r="DC2270">
        <v>0</v>
      </c>
      <c r="DD2270">
        <v>1</v>
      </c>
      <c r="DE2270">
        <v>0</v>
      </c>
      <c r="DF2270">
        <v>0</v>
      </c>
      <c r="DG2270">
        <v>0</v>
      </c>
      <c r="DH2270">
        <v>0</v>
      </c>
      <c r="DI2270">
        <v>0</v>
      </c>
    </row>
    <row r="2271" spans="1:113" x14ac:dyDescent="0.3">
      <c r="A2271" t="str">
        <f>"12/16/2021 14:54:26.173"</f>
        <v>12/16/2021 14:54:26.173</v>
      </c>
      <c r="C2271" t="str">
        <f t="shared" si="109"/>
        <v>FFDFD3C0</v>
      </c>
      <c r="D2271" t="s">
        <v>113</v>
      </c>
      <c r="E2271">
        <v>8</v>
      </c>
      <c r="H2271">
        <v>176</v>
      </c>
      <c r="I2271" t="s">
        <v>114</v>
      </c>
      <c r="J2271" t="s">
        <v>115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>"14:54:25.945"</f>
        <v>14:54:25.945</v>
      </c>
      <c r="T2271" t="str">
        <f>"14:54:25.545"</f>
        <v>14:54:25.545</v>
      </c>
      <c r="U2271" t="str">
        <f t="shared" si="111"/>
        <v>A0F928</v>
      </c>
      <c r="V2271">
        <v>0</v>
      </c>
      <c r="W2271">
        <v>0</v>
      </c>
      <c r="X2271">
        <v>2</v>
      </c>
      <c r="Z2271">
        <v>0</v>
      </c>
      <c r="AA2271">
        <v>9</v>
      </c>
      <c r="AB2271">
        <v>3</v>
      </c>
      <c r="AC2271">
        <v>0</v>
      </c>
      <c r="AD2271">
        <v>10</v>
      </c>
      <c r="AE2271">
        <v>0</v>
      </c>
      <c r="AF2271">
        <v>3</v>
      </c>
      <c r="AG2271">
        <v>2</v>
      </c>
      <c r="AH2271">
        <v>1</v>
      </c>
      <c r="AI2271" t="s">
        <v>619</v>
      </c>
      <c r="AJ2271">
        <v>35.837122999999998</v>
      </c>
      <c r="AK2271" t="s">
        <v>1170</v>
      </c>
      <c r="AL2271">
        <v>-83.956125</v>
      </c>
      <c r="AM2271">
        <v>25</v>
      </c>
      <c r="AN2271">
        <v>950</v>
      </c>
      <c r="AO2271" t="s">
        <v>118</v>
      </c>
      <c r="AP2271">
        <v>-82</v>
      </c>
      <c r="AQ2271">
        <v>-45</v>
      </c>
      <c r="AR2271">
        <v>-448</v>
      </c>
      <c r="AZ2271">
        <v>300</v>
      </c>
      <c r="BA2271">
        <v>1</v>
      </c>
      <c r="BB2271" t="str">
        <f t="shared" si="110"/>
        <v xml:space="preserve">N162AM  </v>
      </c>
      <c r="BC2271">
        <v>1</v>
      </c>
      <c r="BE2271">
        <v>0</v>
      </c>
      <c r="BF2271">
        <v>0</v>
      </c>
      <c r="BG2271">
        <v>0</v>
      </c>
      <c r="BH2271">
        <v>1225</v>
      </c>
      <c r="BI2271">
        <v>1</v>
      </c>
      <c r="BJ2271">
        <v>1</v>
      </c>
      <c r="BK2271">
        <v>1</v>
      </c>
      <c r="BL2271">
        <v>0</v>
      </c>
      <c r="BO2271">
        <v>0</v>
      </c>
      <c r="BP2271">
        <v>0</v>
      </c>
      <c r="BW2271" t="str">
        <f>"14:54:25.950"</f>
        <v>14:54:25.950</v>
      </c>
      <c r="CJ2271">
        <v>3</v>
      </c>
      <c r="CK2271">
        <v>2</v>
      </c>
      <c r="CL2271">
        <v>0</v>
      </c>
      <c r="CM2271">
        <v>2</v>
      </c>
      <c r="CN2271">
        <v>0</v>
      </c>
      <c r="CO2271">
        <v>4</v>
      </c>
      <c r="CP2271" t="s">
        <v>119</v>
      </c>
      <c r="CQ2271">
        <v>232</v>
      </c>
      <c r="CR2271">
        <v>1</v>
      </c>
      <c r="CW2271">
        <v>15892819</v>
      </c>
      <c r="CY2271">
        <v>1</v>
      </c>
      <c r="CZ2271">
        <v>0</v>
      </c>
      <c r="DA2271">
        <v>1</v>
      </c>
      <c r="DB2271">
        <v>0</v>
      </c>
      <c r="DC2271">
        <v>0</v>
      </c>
      <c r="DD2271">
        <v>1</v>
      </c>
      <c r="DE2271">
        <v>0</v>
      </c>
      <c r="DF2271">
        <v>0</v>
      </c>
      <c r="DG2271">
        <v>0</v>
      </c>
      <c r="DH2271">
        <v>0</v>
      </c>
      <c r="DI2271">
        <v>0</v>
      </c>
    </row>
    <row r="2272" spans="1:113" x14ac:dyDescent="0.3">
      <c r="A2272" t="str">
        <f>"12/16/2021 14:54:26.173"</f>
        <v>12/16/2021 14:54:26.173</v>
      </c>
      <c r="C2272" t="str">
        <f t="shared" si="109"/>
        <v>FFDFD3C0</v>
      </c>
      <c r="D2272" t="s">
        <v>124</v>
      </c>
      <c r="E2272">
        <v>10</v>
      </c>
      <c r="F2272">
        <v>1010</v>
      </c>
      <c r="G2272" t="s">
        <v>130</v>
      </c>
      <c r="J2272" t="s">
        <v>125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>"14:54:25.945"</f>
        <v>14:54:25.945</v>
      </c>
      <c r="T2272" t="str">
        <f>"14:54:25.545"</f>
        <v>14:54:25.545</v>
      </c>
      <c r="U2272" t="str">
        <f t="shared" si="111"/>
        <v>A0F928</v>
      </c>
      <c r="V2272">
        <v>0</v>
      </c>
      <c r="W2272">
        <v>0</v>
      </c>
      <c r="X2272">
        <v>2</v>
      </c>
      <c r="Z2272">
        <v>0</v>
      </c>
      <c r="AA2272">
        <v>9</v>
      </c>
      <c r="AB2272">
        <v>3</v>
      </c>
      <c r="AC2272">
        <v>0</v>
      </c>
      <c r="AD2272">
        <v>10</v>
      </c>
      <c r="AE2272">
        <v>0</v>
      </c>
      <c r="AF2272">
        <v>0</v>
      </c>
      <c r="AG2272">
        <v>2</v>
      </c>
      <c r="AH2272">
        <v>1</v>
      </c>
      <c r="AI2272" t="s">
        <v>619</v>
      </c>
      <c r="AJ2272">
        <v>35.837122999999998</v>
      </c>
      <c r="AK2272" t="s">
        <v>1170</v>
      </c>
      <c r="AL2272">
        <v>-83.956125</v>
      </c>
      <c r="AM2272">
        <v>25</v>
      </c>
      <c r="AN2272">
        <v>950</v>
      </c>
      <c r="AO2272" t="s">
        <v>118</v>
      </c>
      <c r="AP2272">
        <v>-82</v>
      </c>
      <c r="AQ2272">
        <v>-45</v>
      </c>
      <c r="AR2272">
        <v>-448</v>
      </c>
      <c r="AZ2272">
        <v>300</v>
      </c>
      <c r="BA2272">
        <v>1</v>
      </c>
      <c r="BB2272" t="str">
        <f t="shared" si="110"/>
        <v xml:space="preserve">N162AM  </v>
      </c>
      <c r="BC2272">
        <v>1</v>
      </c>
      <c r="BE2272">
        <v>0</v>
      </c>
      <c r="BF2272">
        <v>0</v>
      </c>
      <c r="BG2272">
        <v>0</v>
      </c>
      <c r="BH2272">
        <v>1225</v>
      </c>
      <c r="BI2272">
        <v>1</v>
      </c>
      <c r="BJ2272">
        <v>1</v>
      </c>
      <c r="BK2272">
        <v>1</v>
      </c>
      <c r="BL2272">
        <v>0</v>
      </c>
      <c r="BO2272">
        <v>0</v>
      </c>
      <c r="BP2272">
        <v>0</v>
      </c>
      <c r="BW2272" t="str">
        <f>"14:54:25.950"</f>
        <v>14:54:25.950</v>
      </c>
      <c r="CJ2272">
        <v>2</v>
      </c>
      <c r="CK2272">
        <v>2</v>
      </c>
      <c r="CL2272">
        <v>0</v>
      </c>
      <c r="CM2272">
        <v>2</v>
      </c>
      <c r="CN2272">
        <v>0</v>
      </c>
      <c r="CO2272">
        <v>4</v>
      </c>
      <c r="CP2272" t="s">
        <v>119</v>
      </c>
      <c r="CQ2272">
        <v>232</v>
      </c>
      <c r="CR2272">
        <v>1</v>
      </c>
      <c r="CW2272">
        <v>15892819</v>
      </c>
      <c r="CY2272">
        <v>1</v>
      </c>
      <c r="CZ2272">
        <v>0</v>
      </c>
      <c r="DA2272">
        <v>1</v>
      </c>
      <c r="DB2272">
        <v>0</v>
      </c>
      <c r="DC2272">
        <v>0</v>
      </c>
      <c r="DD2272">
        <v>1</v>
      </c>
      <c r="DE2272">
        <v>0</v>
      </c>
      <c r="DF2272">
        <v>0</v>
      </c>
      <c r="DG2272">
        <v>0</v>
      </c>
      <c r="DH2272">
        <v>0</v>
      </c>
      <c r="DI2272">
        <v>0</v>
      </c>
    </row>
    <row r="2273" spans="1:113" x14ac:dyDescent="0.3">
      <c r="A2273" t="str">
        <f>"12/16/2021 14:54:26.173"</f>
        <v>12/16/2021 14:54:26.173</v>
      </c>
      <c r="C2273" t="str">
        <f t="shared" si="109"/>
        <v>FFDFD3C0</v>
      </c>
      <c r="D2273" t="s">
        <v>124</v>
      </c>
      <c r="E2273">
        <v>5</v>
      </c>
      <c r="F2273">
        <v>1005</v>
      </c>
      <c r="G2273" t="s">
        <v>114</v>
      </c>
      <c r="J2273" t="s">
        <v>125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>"14:54:25.945"</f>
        <v>14:54:25.945</v>
      </c>
      <c r="T2273" t="str">
        <f>"14:54:25.545"</f>
        <v>14:54:25.545</v>
      </c>
      <c r="U2273" t="str">
        <f t="shared" si="111"/>
        <v>A0F928</v>
      </c>
      <c r="V2273">
        <v>0</v>
      </c>
      <c r="W2273">
        <v>0</v>
      </c>
      <c r="X2273">
        <v>2</v>
      </c>
      <c r="Z2273">
        <v>0</v>
      </c>
      <c r="AA2273">
        <v>9</v>
      </c>
      <c r="AB2273">
        <v>3</v>
      </c>
      <c r="AC2273">
        <v>0</v>
      </c>
      <c r="AD2273">
        <v>10</v>
      </c>
      <c r="AE2273">
        <v>0</v>
      </c>
      <c r="AF2273">
        <v>3</v>
      </c>
      <c r="AG2273">
        <v>2</v>
      </c>
      <c r="AH2273">
        <v>1</v>
      </c>
      <c r="AI2273" t="s">
        <v>619</v>
      </c>
      <c r="AJ2273">
        <v>35.837122999999998</v>
      </c>
      <c r="AK2273" t="s">
        <v>1170</v>
      </c>
      <c r="AL2273">
        <v>-83.956125</v>
      </c>
      <c r="AM2273">
        <v>25</v>
      </c>
      <c r="AN2273">
        <v>950</v>
      </c>
      <c r="AO2273" t="s">
        <v>118</v>
      </c>
      <c r="AP2273">
        <v>-82</v>
      </c>
      <c r="AQ2273">
        <v>-45</v>
      </c>
      <c r="AR2273">
        <v>-448</v>
      </c>
      <c r="AZ2273">
        <v>300</v>
      </c>
      <c r="BA2273">
        <v>1</v>
      </c>
      <c r="BB2273" t="str">
        <f t="shared" si="110"/>
        <v xml:space="preserve">N162AM  </v>
      </c>
      <c r="BC2273">
        <v>1</v>
      </c>
      <c r="BE2273">
        <v>0</v>
      </c>
      <c r="BF2273">
        <v>0</v>
      </c>
      <c r="BG2273">
        <v>0</v>
      </c>
      <c r="BH2273">
        <v>1225</v>
      </c>
      <c r="BI2273">
        <v>1</v>
      </c>
      <c r="BJ2273">
        <v>1</v>
      </c>
      <c r="BK2273">
        <v>1</v>
      </c>
      <c r="BL2273">
        <v>0</v>
      </c>
      <c r="BO2273">
        <v>0</v>
      </c>
      <c r="BP2273">
        <v>0</v>
      </c>
      <c r="BW2273" t="str">
        <f>"14:54:25.950"</f>
        <v>14:54:25.950</v>
      </c>
      <c r="CJ2273">
        <v>3</v>
      </c>
      <c r="CK2273">
        <v>2</v>
      </c>
      <c r="CL2273">
        <v>0</v>
      </c>
      <c r="CM2273">
        <v>2</v>
      </c>
      <c r="CN2273">
        <v>0</v>
      </c>
      <c r="CO2273">
        <v>4</v>
      </c>
      <c r="CP2273" t="s">
        <v>119</v>
      </c>
      <c r="CQ2273">
        <v>232</v>
      </c>
      <c r="CR2273">
        <v>1</v>
      </c>
      <c r="CW2273">
        <v>15892819</v>
      </c>
      <c r="CY2273">
        <v>1</v>
      </c>
      <c r="CZ2273">
        <v>0</v>
      </c>
      <c r="DA2273">
        <v>1</v>
      </c>
      <c r="DB2273">
        <v>0</v>
      </c>
      <c r="DC2273">
        <v>0</v>
      </c>
      <c r="DD2273">
        <v>1</v>
      </c>
      <c r="DE2273">
        <v>0</v>
      </c>
      <c r="DF2273">
        <v>0</v>
      </c>
      <c r="DG2273">
        <v>0</v>
      </c>
      <c r="DH2273">
        <v>0</v>
      </c>
      <c r="DI2273">
        <v>0</v>
      </c>
    </row>
    <row r="2274" spans="1:113" x14ac:dyDescent="0.3">
      <c r="A2274" t="str">
        <f>"12/16/2021 14:54:27.736"</f>
        <v>12/16/2021 14:54:27.736</v>
      </c>
      <c r="C2274" t="str">
        <f t="shared" si="109"/>
        <v>FFDFD3C0</v>
      </c>
      <c r="D2274" t="s">
        <v>133</v>
      </c>
      <c r="E2274">
        <v>44</v>
      </c>
      <c r="H2274">
        <v>131</v>
      </c>
      <c r="I2274" t="s">
        <v>134</v>
      </c>
      <c r="J2274" t="s">
        <v>135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>"14:54:27.516"</f>
        <v>14:54:27.516</v>
      </c>
      <c r="T2274" t="str">
        <f>"14:54:26.416"</f>
        <v>14:54:26.416</v>
      </c>
      <c r="U2274" t="str">
        <f t="shared" si="111"/>
        <v>A0F928</v>
      </c>
      <c r="V2274">
        <v>0</v>
      </c>
      <c r="W2274">
        <v>0</v>
      </c>
      <c r="X2274">
        <v>2</v>
      </c>
      <c r="Z2274">
        <v>0</v>
      </c>
      <c r="AA2274">
        <v>9</v>
      </c>
      <c r="AB2274">
        <v>3</v>
      </c>
      <c r="AC2274">
        <v>0</v>
      </c>
      <c r="AD2274">
        <v>10</v>
      </c>
      <c r="AE2274">
        <v>0</v>
      </c>
      <c r="AF2274">
        <v>3</v>
      </c>
      <c r="AG2274">
        <v>2</v>
      </c>
      <c r="AH2274">
        <v>1</v>
      </c>
      <c r="AI2274" t="s">
        <v>617</v>
      </c>
      <c r="AJ2274">
        <v>35.836801999999999</v>
      </c>
      <c r="AK2274" t="s">
        <v>1171</v>
      </c>
      <c r="AL2274">
        <v>-83.956875999999994</v>
      </c>
      <c r="AM2274">
        <v>25</v>
      </c>
      <c r="AN2274">
        <v>950</v>
      </c>
      <c r="AO2274" t="s">
        <v>118</v>
      </c>
      <c r="AP2274">
        <v>-82</v>
      </c>
      <c r="AQ2274">
        <v>-45</v>
      </c>
      <c r="AR2274">
        <v>-320</v>
      </c>
      <c r="AZ2274">
        <v>300</v>
      </c>
      <c r="BA2274">
        <v>1</v>
      </c>
      <c r="BB2274" t="str">
        <f t="shared" si="110"/>
        <v xml:space="preserve">N162AM  </v>
      </c>
      <c r="BC2274">
        <v>1</v>
      </c>
      <c r="BE2274">
        <v>0</v>
      </c>
      <c r="BF2274">
        <v>0</v>
      </c>
      <c r="BG2274">
        <v>0</v>
      </c>
      <c r="BH2274">
        <v>1200</v>
      </c>
      <c r="BI2274">
        <v>1</v>
      </c>
      <c r="BJ2274">
        <v>1</v>
      </c>
      <c r="BK2274">
        <v>1</v>
      </c>
      <c r="BL2274">
        <v>0</v>
      </c>
      <c r="BO2274">
        <v>0</v>
      </c>
      <c r="BP2274">
        <v>0</v>
      </c>
      <c r="BW2274" t="str">
        <f>"14:54:27.523"</f>
        <v>14:54:27.523</v>
      </c>
      <c r="CJ2274">
        <v>3</v>
      </c>
      <c r="CK2274">
        <v>2</v>
      </c>
      <c r="CL2274">
        <v>0</v>
      </c>
      <c r="CM2274">
        <v>2</v>
      </c>
      <c r="CN2274">
        <v>0</v>
      </c>
      <c r="CO2274">
        <v>3</v>
      </c>
      <c r="CP2274" t="s">
        <v>119</v>
      </c>
      <c r="CQ2274">
        <v>232</v>
      </c>
      <c r="CR2274">
        <v>1</v>
      </c>
      <c r="CW2274">
        <v>15895129</v>
      </c>
      <c r="CY2274">
        <v>1</v>
      </c>
      <c r="CZ2274">
        <v>0</v>
      </c>
      <c r="DA2274">
        <v>0</v>
      </c>
      <c r="DB2274">
        <v>0</v>
      </c>
      <c r="DC2274">
        <v>0</v>
      </c>
      <c r="DD2274">
        <v>1</v>
      </c>
      <c r="DE2274">
        <v>0</v>
      </c>
      <c r="DF2274">
        <v>0</v>
      </c>
      <c r="DG2274">
        <v>0</v>
      </c>
      <c r="DH2274">
        <v>0</v>
      </c>
      <c r="DI2274">
        <v>0</v>
      </c>
    </row>
    <row r="2275" spans="1:113" x14ac:dyDescent="0.3">
      <c r="A2275" t="str">
        <f>"12/16/2021 14:54:27.752"</f>
        <v>12/16/2021 14:54:27.752</v>
      </c>
      <c r="C2275" t="str">
        <f t="shared" si="109"/>
        <v>FFDFD3C0</v>
      </c>
      <c r="D2275" t="s">
        <v>113</v>
      </c>
      <c r="E2275">
        <v>8</v>
      </c>
      <c r="H2275">
        <v>176</v>
      </c>
      <c r="I2275" t="s">
        <v>114</v>
      </c>
      <c r="J2275" t="s">
        <v>115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>"14:54:27.516"</f>
        <v>14:54:27.516</v>
      </c>
      <c r="T2275" t="str">
        <f>"14:54:26.416"</f>
        <v>14:54:26.416</v>
      </c>
      <c r="U2275" t="str">
        <f t="shared" si="111"/>
        <v>A0F928</v>
      </c>
      <c r="V2275">
        <v>0</v>
      </c>
      <c r="W2275">
        <v>0</v>
      </c>
      <c r="X2275">
        <v>2</v>
      </c>
      <c r="Z2275">
        <v>0</v>
      </c>
      <c r="AA2275">
        <v>9</v>
      </c>
      <c r="AB2275">
        <v>3</v>
      </c>
      <c r="AC2275">
        <v>0</v>
      </c>
      <c r="AD2275">
        <v>10</v>
      </c>
      <c r="AE2275">
        <v>0</v>
      </c>
      <c r="AF2275">
        <v>3</v>
      </c>
      <c r="AG2275">
        <v>2</v>
      </c>
      <c r="AH2275">
        <v>1</v>
      </c>
      <c r="AI2275" t="s">
        <v>617</v>
      </c>
      <c r="AJ2275">
        <v>35.836801999999999</v>
      </c>
      <c r="AK2275" t="s">
        <v>1171</v>
      </c>
      <c r="AL2275">
        <v>-83.956875999999994</v>
      </c>
      <c r="AM2275">
        <v>25</v>
      </c>
      <c r="AN2275">
        <v>950</v>
      </c>
      <c r="AO2275" t="s">
        <v>118</v>
      </c>
      <c r="AP2275">
        <v>-82</v>
      </c>
      <c r="AQ2275">
        <v>-45</v>
      </c>
      <c r="AR2275">
        <v>-320</v>
      </c>
      <c r="AZ2275">
        <v>300</v>
      </c>
      <c r="BA2275">
        <v>1</v>
      </c>
      <c r="BB2275" t="str">
        <f t="shared" si="110"/>
        <v xml:space="preserve">N162AM  </v>
      </c>
      <c r="BC2275">
        <v>1</v>
      </c>
      <c r="BE2275">
        <v>0</v>
      </c>
      <c r="BF2275">
        <v>0</v>
      </c>
      <c r="BG2275">
        <v>0</v>
      </c>
      <c r="BH2275">
        <v>1200</v>
      </c>
      <c r="BI2275">
        <v>1</v>
      </c>
      <c r="BJ2275">
        <v>1</v>
      </c>
      <c r="BK2275">
        <v>1</v>
      </c>
      <c r="BL2275">
        <v>0</v>
      </c>
      <c r="BO2275">
        <v>0</v>
      </c>
      <c r="BP2275">
        <v>0</v>
      </c>
      <c r="BW2275" t="str">
        <f>"14:54:27.523"</f>
        <v>14:54:27.523</v>
      </c>
      <c r="CJ2275">
        <v>3</v>
      </c>
      <c r="CK2275">
        <v>2</v>
      </c>
      <c r="CL2275">
        <v>0</v>
      </c>
      <c r="CM2275">
        <v>2</v>
      </c>
      <c r="CN2275">
        <v>0</v>
      </c>
      <c r="CO2275">
        <v>3</v>
      </c>
      <c r="CP2275" t="s">
        <v>119</v>
      </c>
      <c r="CQ2275">
        <v>232</v>
      </c>
      <c r="CR2275">
        <v>1</v>
      </c>
      <c r="CW2275">
        <v>15895129</v>
      </c>
      <c r="CY2275">
        <v>1</v>
      </c>
      <c r="CZ2275">
        <v>0</v>
      </c>
      <c r="DA2275">
        <v>1</v>
      </c>
      <c r="DB2275">
        <v>0</v>
      </c>
      <c r="DC2275">
        <v>0</v>
      </c>
      <c r="DD2275">
        <v>1</v>
      </c>
      <c r="DE2275">
        <v>0</v>
      </c>
      <c r="DF2275">
        <v>0</v>
      </c>
      <c r="DG2275">
        <v>0</v>
      </c>
      <c r="DH2275">
        <v>0</v>
      </c>
      <c r="DI2275">
        <v>0</v>
      </c>
    </row>
    <row r="2276" spans="1:113" x14ac:dyDescent="0.3">
      <c r="A2276" t="str">
        <f>"12/16/2021 14:54:27.752"</f>
        <v>12/16/2021 14:54:27.752</v>
      </c>
      <c r="C2276" t="str">
        <f t="shared" si="109"/>
        <v>FFDFD3C0</v>
      </c>
      <c r="D2276" t="s">
        <v>124</v>
      </c>
      <c r="E2276">
        <v>10</v>
      </c>
      <c r="F2276">
        <v>1010</v>
      </c>
      <c r="G2276" t="s">
        <v>130</v>
      </c>
      <c r="J2276" t="s">
        <v>125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>"14:54:27.516"</f>
        <v>14:54:27.516</v>
      </c>
      <c r="T2276" t="str">
        <f>"14:54:26.416"</f>
        <v>14:54:26.416</v>
      </c>
      <c r="U2276" t="str">
        <f t="shared" si="111"/>
        <v>A0F928</v>
      </c>
      <c r="V2276">
        <v>0</v>
      </c>
      <c r="W2276">
        <v>0</v>
      </c>
      <c r="X2276">
        <v>2</v>
      </c>
      <c r="Z2276">
        <v>0</v>
      </c>
      <c r="AA2276">
        <v>9</v>
      </c>
      <c r="AB2276">
        <v>3</v>
      </c>
      <c r="AC2276">
        <v>0</v>
      </c>
      <c r="AD2276">
        <v>10</v>
      </c>
      <c r="AE2276">
        <v>0</v>
      </c>
      <c r="AF2276">
        <v>0</v>
      </c>
      <c r="AG2276">
        <v>2</v>
      </c>
      <c r="AH2276">
        <v>1</v>
      </c>
      <c r="AI2276" t="s">
        <v>617</v>
      </c>
      <c r="AJ2276">
        <v>35.836801999999999</v>
      </c>
      <c r="AK2276" t="s">
        <v>1171</v>
      </c>
      <c r="AL2276">
        <v>-83.956875999999994</v>
      </c>
      <c r="AM2276">
        <v>25</v>
      </c>
      <c r="AN2276">
        <v>950</v>
      </c>
      <c r="AO2276" t="s">
        <v>118</v>
      </c>
      <c r="AP2276">
        <v>-82</v>
      </c>
      <c r="AQ2276">
        <v>-45</v>
      </c>
      <c r="AR2276">
        <v>-320</v>
      </c>
      <c r="AZ2276">
        <v>300</v>
      </c>
      <c r="BA2276">
        <v>1</v>
      </c>
      <c r="BB2276" t="str">
        <f t="shared" si="110"/>
        <v xml:space="preserve">N162AM  </v>
      </c>
      <c r="BC2276">
        <v>1</v>
      </c>
      <c r="BE2276">
        <v>0</v>
      </c>
      <c r="BF2276">
        <v>0</v>
      </c>
      <c r="BG2276">
        <v>0</v>
      </c>
      <c r="BH2276">
        <v>1200</v>
      </c>
      <c r="BI2276">
        <v>1</v>
      </c>
      <c r="BJ2276">
        <v>1</v>
      </c>
      <c r="BK2276">
        <v>1</v>
      </c>
      <c r="BL2276">
        <v>0</v>
      </c>
      <c r="BO2276">
        <v>0</v>
      </c>
      <c r="BP2276">
        <v>0</v>
      </c>
      <c r="BW2276" t="str">
        <f>"14:54:27.523"</f>
        <v>14:54:27.523</v>
      </c>
      <c r="CJ2276">
        <v>2</v>
      </c>
      <c r="CK2276">
        <v>2</v>
      </c>
      <c r="CL2276">
        <v>0</v>
      </c>
      <c r="CM2276">
        <v>2</v>
      </c>
      <c r="CN2276">
        <v>0</v>
      </c>
      <c r="CO2276">
        <v>3</v>
      </c>
      <c r="CP2276" t="s">
        <v>119</v>
      </c>
      <c r="CQ2276">
        <v>232</v>
      </c>
      <c r="CR2276">
        <v>1</v>
      </c>
      <c r="CW2276">
        <v>15895129</v>
      </c>
      <c r="CY2276">
        <v>1</v>
      </c>
      <c r="CZ2276">
        <v>0</v>
      </c>
      <c r="DA2276">
        <v>1</v>
      </c>
      <c r="DB2276">
        <v>0</v>
      </c>
      <c r="DC2276">
        <v>0</v>
      </c>
      <c r="DD2276">
        <v>1</v>
      </c>
      <c r="DE2276">
        <v>0</v>
      </c>
      <c r="DF2276">
        <v>0</v>
      </c>
      <c r="DG2276">
        <v>0</v>
      </c>
      <c r="DH2276">
        <v>0</v>
      </c>
      <c r="DI2276">
        <v>0</v>
      </c>
    </row>
    <row r="2277" spans="1:113" x14ac:dyDescent="0.3">
      <c r="A2277" t="str">
        <f>"12/16/2021 14:54:27.767"</f>
        <v>12/16/2021 14:54:27.767</v>
      </c>
      <c r="C2277" t="str">
        <f t="shared" si="109"/>
        <v>FFDFD3C0</v>
      </c>
      <c r="D2277" t="s">
        <v>124</v>
      </c>
      <c r="E2277">
        <v>5</v>
      </c>
      <c r="F2277">
        <v>1005</v>
      </c>
      <c r="G2277" t="s">
        <v>114</v>
      </c>
      <c r="J2277" t="s">
        <v>125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>"14:54:27.516"</f>
        <v>14:54:27.516</v>
      </c>
      <c r="T2277" t="str">
        <f>"14:54:26.416"</f>
        <v>14:54:26.416</v>
      </c>
      <c r="U2277" t="str">
        <f t="shared" si="111"/>
        <v>A0F928</v>
      </c>
      <c r="V2277">
        <v>0</v>
      </c>
      <c r="W2277">
        <v>0</v>
      </c>
      <c r="X2277">
        <v>2</v>
      </c>
      <c r="Z2277">
        <v>0</v>
      </c>
      <c r="AA2277">
        <v>9</v>
      </c>
      <c r="AB2277">
        <v>3</v>
      </c>
      <c r="AC2277">
        <v>0</v>
      </c>
      <c r="AD2277">
        <v>10</v>
      </c>
      <c r="AE2277">
        <v>0</v>
      </c>
      <c r="AF2277">
        <v>3</v>
      </c>
      <c r="AG2277">
        <v>2</v>
      </c>
      <c r="AH2277">
        <v>1</v>
      </c>
      <c r="AI2277" t="s">
        <v>617</v>
      </c>
      <c r="AJ2277">
        <v>35.836801999999999</v>
      </c>
      <c r="AK2277" t="s">
        <v>1171</v>
      </c>
      <c r="AL2277">
        <v>-83.956875999999994</v>
      </c>
      <c r="AM2277">
        <v>25</v>
      </c>
      <c r="AN2277">
        <v>950</v>
      </c>
      <c r="AO2277" t="s">
        <v>118</v>
      </c>
      <c r="AP2277">
        <v>-82</v>
      </c>
      <c r="AQ2277">
        <v>-45</v>
      </c>
      <c r="AR2277">
        <v>-320</v>
      </c>
      <c r="AZ2277">
        <v>300</v>
      </c>
      <c r="BA2277">
        <v>1</v>
      </c>
      <c r="BB2277" t="str">
        <f t="shared" si="110"/>
        <v xml:space="preserve">N162AM  </v>
      </c>
      <c r="BC2277">
        <v>1</v>
      </c>
      <c r="BE2277">
        <v>0</v>
      </c>
      <c r="BF2277">
        <v>0</v>
      </c>
      <c r="BG2277">
        <v>0</v>
      </c>
      <c r="BH2277">
        <v>1200</v>
      </c>
      <c r="BI2277">
        <v>1</v>
      </c>
      <c r="BJ2277">
        <v>1</v>
      </c>
      <c r="BK2277">
        <v>1</v>
      </c>
      <c r="BL2277">
        <v>0</v>
      </c>
      <c r="BO2277">
        <v>0</v>
      </c>
      <c r="BP2277">
        <v>0</v>
      </c>
      <c r="BW2277" t="str">
        <f>"14:54:27.523"</f>
        <v>14:54:27.523</v>
      </c>
      <c r="CJ2277">
        <v>3</v>
      </c>
      <c r="CK2277">
        <v>2</v>
      </c>
      <c r="CL2277">
        <v>0</v>
      </c>
      <c r="CM2277">
        <v>2</v>
      </c>
      <c r="CN2277">
        <v>0</v>
      </c>
      <c r="CO2277">
        <v>3</v>
      </c>
      <c r="CP2277" t="s">
        <v>119</v>
      </c>
      <c r="CQ2277">
        <v>232</v>
      </c>
      <c r="CR2277">
        <v>1</v>
      </c>
      <c r="CW2277">
        <v>15895129</v>
      </c>
      <c r="CY2277">
        <v>1</v>
      </c>
      <c r="CZ2277">
        <v>0</v>
      </c>
      <c r="DA2277">
        <v>1</v>
      </c>
      <c r="DB2277">
        <v>0</v>
      </c>
      <c r="DC2277">
        <v>0</v>
      </c>
      <c r="DD2277">
        <v>1</v>
      </c>
      <c r="DE2277">
        <v>0</v>
      </c>
      <c r="DF2277">
        <v>0</v>
      </c>
      <c r="DG2277">
        <v>0</v>
      </c>
      <c r="DH2277">
        <v>0</v>
      </c>
      <c r="DI2277">
        <v>0</v>
      </c>
    </row>
    <row r="2278" spans="1:113" x14ac:dyDescent="0.3">
      <c r="A2278" t="str">
        <f>"12/16/2021 14:54:28.658"</f>
        <v>12/16/2021 14:54:28.658</v>
      </c>
      <c r="C2278" t="str">
        <f t="shared" si="109"/>
        <v>FFDFD3C0</v>
      </c>
      <c r="D2278" t="s">
        <v>124</v>
      </c>
      <c r="E2278">
        <v>10</v>
      </c>
      <c r="F2278">
        <v>1010</v>
      </c>
      <c r="G2278" t="s">
        <v>130</v>
      </c>
      <c r="J2278" t="s">
        <v>125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>"14:54:28.430"</f>
        <v>14:54:28.430</v>
      </c>
      <c r="T2278" t="str">
        <f>"14:54:27.930"</f>
        <v>14:54:27.930</v>
      </c>
      <c r="U2278" t="str">
        <f t="shared" si="111"/>
        <v>A0F928</v>
      </c>
      <c r="V2278">
        <v>0</v>
      </c>
      <c r="W2278">
        <v>0</v>
      </c>
      <c r="X2278">
        <v>2</v>
      </c>
      <c r="Z2278">
        <v>0</v>
      </c>
      <c r="AA2278">
        <v>9</v>
      </c>
      <c r="AB2278">
        <v>3</v>
      </c>
      <c r="AC2278">
        <v>0</v>
      </c>
      <c r="AD2278">
        <v>10</v>
      </c>
      <c r="AE2278">
        <v>0</v>
      </c>
      <c r="AF2278">
        <v>0</v>
      </c>
      <c r="AG2278">
        <v>2</v>
      </c>
      <c r="AH2278">
        <v>1</v>
      </c>
      <c r="AI2278" t="s">
        <v>1172</v>
      </c>
      <c r="AJ2278">
        <v>35.836587000000002</v>
      </c>
      <c r="AK2278" t="s">
        <v>1173</v>
      </c>
      <c r="AL2278">
        <v>-83.957283000000004</v>
      </c>
      <c r="AM2278">
        <v>25</v>
      </c>
      <c r="AN2278">
        <v>950</v>
      </c>
      <c r="AO2278" t="s">
        <v>118</v>
      </c>
      <c r="AP2278">
        <v>-83</v>
      </c>
      <c r="AQ2278">
        <v>-43</v>
      </c>
      <c r="AR2278">
        <v>-576</v>
      </c>
      <c r="AZ2278">
        <v>300</v>
      </c>
      <c r="BA2278">
        <v>1</v>
      </c>
      <c r="BB2278" t="str">
        <f t="shared" si="110"/>
        <v xml:space="preserve">N162AM  </v>
      </c>
      <c r="BC2278">
        <v>1</v>
      </c>
      <c r="BE2278">
        <v>0</v>
      </c>
      <c r="BF2278">
        <v>0</v>
      </c>
      <c r="BG2278">
        <v>0</v>
      </c>
      <c r="BH2278">
        <v>1200</v>
      </c>
      <c r="BI2278">
        <v>1</v>
      </c>
      <c r="BJ2278">
        <v>1</v>
      </c>
      <c r="BK2278">
        <v>1</v>
      </c>
      <c r="BL2278">
        <v>0</v>
      </c>
      <c r="BO2278">
        <v>0</v>
      </c>
      <c r="BP2278">
        <v>0</v>
      </c>
      <c r="BW2278" t="str">
        <f>"14:54:28.437"</f>
        <v>14:54:28.437</v>
      </c>
      <c r="CJ2278">
        <v>2</v>
      </c>
      <c r="CK2278">
        <v>2</v>
      </c>
      <c r="CL2278">
        <v>0</v>
      </c>
      <c r="CM2278">
        <v>2</v>
      </c>
      <c r="CN2278">
        <v>0</v>
      </c>
      <c r="CO2278">
        <v>5</v>
      </c>
      <c r="CP2278" t="s">
        <v>119</v>
      </c>
      <c r="CQ2278">
        <v>232</v>
      </c>
      <c r="CR2278">
        <v>1</v>
      </c>
      <c r="CW2278">
        <v>15896451</v>
      </c>
      <c r="CY2278">
        <v>1</v>
      </c>
      <c r="CZ2278">
        <v>0</v>
      </c>
      <c r="DA2278">
        <v>0</v>
      </c>
      <c r="DB2278">
        <v>0</v>
      </c>
      <c r="DC2278">
        <v>0</v>
      </c>
      <c r="DD2278">
        <v>1</v>
      </c>
      <c r="DE2278">
        <v>0</v>
      </c>
      <c r="DF2278">
        <v>0</v>
      </c>
      <c r="DG2278">
        <v>0</v>
      </c>
      <c r="DH2278">
        <v>0</v>
      </c>
      <c r="DI2278">
        <v>0</v>
      </c>
    </row>
    <row r="2279" spans="1:113" x14ac:dyDescent="0.3">
      <c r="A2279" t="str">
        <f>"12/16/2021 14:54:28.658"</f>
        <v>12/16/2021 14:54:28.658</v>
      </c>
      <c r="C2279" t="str">
        <f t="shared" si="109"/>
        <v>FFDFD3C0</v>
      </c>
      <c r="D2279" t="s">
        <v>113</v>
      </c>
      <c r="E2279">
        <v>8</v>
      </c>
      <c r="H2279">
        <v>176</v>
      </c>
      <c r="I2279" t="s">
        <v>114</v>
      </c>
      <c r="J2279" t="s">
        <v>115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>"14:54:28.430"</f>
        <v>14:54:28.430</v>
      </c>
      <c r="T2279" t="str">
        <f>"14:54:27.930"</f>
        <v>14:54:27.930</v>
      </c>
      <c r="U2279" t="str">
        <f t="shared" si="111"/>
        <v>A0F928</v>
      </c>
      <c r="V2279">
        <v>0</v>
      </c>
      <c r="W2279">
        <v>0</v>
      </c>
      <c r="X2279">
        <v>2</v>
      </c>
      <c r="Z2279">
        <v>0</v>
      </c>
      <c r="AA2279">
        <v>9</v>
      </c>
      <c r="AB2279">
        <v>3</v>
      </c>
      <c r="AC2279">
        <v>0</v>
      </c>
      <c r="AD2279">
        <v>10</v>
      </c>
      <c r="AE2279">
        <v>0</v>
      </c>
      <c r="AF2279">
        <v>3</v>
      </c>
      <c r="AG2279">
        <v>2</v>
      </c>
      <c r="AH2279">
        <v>1</v>
      </c>
      <c r="AI2279" t="s">
        <v>1172</v>
      </c>
      <c r="AJ2279">
        <v>35.836587000000002</v>
      </c>
      <c r="AK2279" t="s">
        <v>1173</v>
      </c>
      <c r="AL2279">
        <v>-83.957283000000004</v>
      </c>
      <c r="AM2279">
        <v>25</v>
      </c>
      <c r="AN2279">
        <v>950</v>
      </c>
      <c r="AO2279" t="s">
        <v>118</v>
      </c>
      <c r="AP2279">
        <v>-83</v>
      </c>
      <c r="AQ2279">
        <v>-43</v>
      </c>
      <c r="AR2279">
        <v>-576</v>
      </c>
      <c r="AZ2279">
        <v>300</v>
      </c>
      <c r="BA2279">
        <v>1</v>
      </c>
      <c r="BB2279" t="str">
        <f t="shared" si="110"/>
        <v xml:space="preserve">N162AM  </v>
      </c>
      <c r="BC2279">
        <v>1</v>
      </c>
      <c r="BE2279">
        <v>0</v>
      </c>
      <c r="BF2279">
        <v>0</v>
      </c>
      <c r="BG2279">
        <v>0</v>
      </c>
      <c r="BH2279">
        <v>1200</v>
      </c>
      <c r="BI2279">
        <v>1</v>
      </c>
      <c r="BJ2279">
        <v>1</v>
      </c>
      <c r="BK2279">
        <v>1</v>
      </c>
      <c r="BL2279">
        <v>0</v>
      </c>
      <c r="BO2279">
        <v>0</v>
      </c>
      <c r="BP2279">
        <v>0</v>
      </c>
      <c r="BW2279" t="str">
        <f>"14:54:28.437"</f>
        <v>14:54:28.437</v>
      </c>
      <c r="CJ2279">
        <v>3</v>
      </c>
      <c r="CK2279">
        <v>2</v>
      </c>
      <c r="CL2279">
        <v>0</v>
      </c>
      <c r="CM2279">
        <v>2</v>
      </c>
      <c r="CN2279">
        <v>0</v>
      </c>
      <c r="CO2279">
        <v>5</v>
      </c>
      <c r="CP2279" t="s">
        <v>119</v>
      </c>
      <c r="CQ2279">
        <v>232</v>
      </c>
      <c r="CR2279">
        <v>1</v>
      </c>
      <c r="CW2279">
        <v>15896451</v>
      </c>
      <c r="CY2279">
        <v>1</v>
      </c>
      <c r="CZ2279">
        <v>0</v>
      </c>
      <c r="DA2279">
        <v>1</v>
      </c>
      <c r="DB2279">
        <v>0</v>
      </c>
      <c r="DC2279">
        <v>0</v>
      </c>
      <c r="DD2279">
        <v>1</v>
      </c>
      <c r="DE2279">
        <v>0</v>
      </c>
      <c r="DF2279">
        <v>0</v>
      </c>
      <c r="DG2279">
        <v>0</v>
      </c>
      <c r="DH2279">
        <v>0</v>
      </c>
      <c r="DI2279">
        <v>0</v>
      </c>
    </row>
    <row r="2280" spans="1:113" x14ac:dyDescent="0.3">
      <c r="A2280" t="str">
        <f>"12/16/2021 14:54:28.658"</f>
        <v>12/16/2021 14:54:28.658</v>
      </c>
      <c r="C2280" t="str">
        <f t="shared" si="109"/>
        <v>FFDFD3C0</v>
      </c>
      <c r="D2280" t="s">
        <v>124</v>
      </c>
      <c r="E2280">
        <v>5</v>
      </c>
      <c r="F2280">
        <v>1005</v>
      </c>
      <c r="G2280" t="s">
        <v>114</v>
      </c>
      <c r="J2280" t="s">
        <v>125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>"14:54:28.430"</f>
        <v>14:54:28.430</v>
      </c>
      <c r="T2280" t="str">
        <f>"14:54:27.930"</f>
        <v>14:54:27.930</v>
      </c>
      <c r="U2280" t="str">
        <f t="shared" si="111"/>
        <v>A0F928</v>
      </c>
      <c r="V2280">
        <v>0</v>
      </c>
      <c r="W2280">
        <v>0</v>
      </c>
      <c r="X2280">
        <v>2</v>
      </c>
      <c r="Z2280">
        <v>0</v>
      </c>
      <c r="AA2280">
        <v>9</v>
      </c>
      <c r="AB2280">
        <v>3</v>
      </c>
      <c r="AC2280">
        <v>0</v>
      </c>
      <c r="AD2280">
        <v>10</v>
      </c>
      <c r="AE2280">
        <v>0</v>
      </c>
      <c r="AF2280">
        <v>3</v>
      </c>
      <c r="AG2280">
        <v>2</v>
      </c>
      <c r="AH2280">
        <v>1</v>
      </c>
      <c r="AI2280" t="s">
        <v>1172</v>
      </c>
      <c r="AJ2280">
        <v>35.836587000000002</v>
      </c>
      <c r="AK2280" t="s">
        <v>1173</v>
      </c>
      <c r="AL2280">
        <v>-83.957283000000004</v>
      </c>
      <c r="AM2280">
        <v>25</v>
      </c>
      <c r="AN2280">
        <v>950</v>
      </c>
      <c r="AO2280" t="s">
        <v>118</v>
      </c>
      <c r="AP2280">
        <v>-83</v>
      </c>
      <c r="AQ2280">
        <v>-43</v>
      </c>
      <c r="AR2280">
        <v>-576</v>
      </c>
      <c r="AZ2280">
        <v>300</v>
      </c>
      <c r="BA2280">
        <v>1</v>
      </c>
      <c r="BB2280" t="str">
        <f t="shared" si="110"/>
        <v xml:space="preserve">N162AM  </v>
      </c>
      <c r="BC2280">
        <v>1</v>
      </c>
      <c r="BE2280">
        <v>0</v>
      </c>
      <c r="BF2280">
        <v>0</v>
      </c>
      <c r="BG2280">
        <v>0</v>
      </c>
      <c r="BH2280">
        <v>1200</v>
      </c>
      <c r="BI2280">
        <v>1</v>
      </c>
      <c r="BJ2280">
        <v>1</v>
      </c>
      <c r="BK2280">
        <v>1</v>
      </c>
      <c r="BL2280">
        <v>0</v>
      </c>
      <c r="BO2280">
        <v>0</v>
      </c>
      <c r="BP2280">
        <v>0</v>
      </c>
      <c r="BW2280" t="str">
        <f>"14:54:28.437"</f>
        <v>14:54:28.437</v>
      </c>
      <c r="CJ2280">
        <v>3</v>
      </c>
      <c r="CK2280">
        <v>2</v>
      </c>
      <c r="CL2280">
        <v>0</v>
      </c>
      <c r="CM2280">
        <v>2</v>
      </c>
      <c r="CN2280">
        <v>0</v>
      </c>
      <c r="CO2280">
        <v>5</v>
      </c>
      <c r="CP2280" t="s">
        <v>119</v>
      </c>
      <c r="CQ2280">
        <v>232</v>
      </c>
      <c r="CR2280">
        <v>1</v>
      </c>
      <c r="CW2280">
        <v>15896451</v>
      </c>
      <c r="CY2280">
        <v>1</v>
      </c>
      <c r="CZ2280">
        <v>0</v>
      </c>
      <c r="DA2280">
        <v>1</v>
      </c>
      <c r="DB2280">
        <v>0</v>
      </c>
      <c r="DC2280">
        <v>0</v>
      </c>
      <c r="DD2280">
        <v>1</v>
      </c>
      <c r="DE2280">
        <v>0</v>
      </c>
      <c r="DF2280">
        <v>0</v>
      </c>
      <c r="DG2280">
        <v>0</v>
      </c>
      <c r="DH2280">
        <v>0</v>
      </c>
      <c r="DI2280">
        <v>0</v>
      </c>
    </row>
    <row r="2281" spans="1:113" x14ac:dyDescent="0.3">
      <c r="A2281" t="str">
        <f>"12/16/2021 14:54:28.720"</f>
        <v>12/16/2021 14:54:28.720</v>
      </c>
      <c r="C2281" t="str">
        <f t="shared" si="109"/>
        <v>FFDFD3C0</v>
      </c>
      <c r="D2281" t="s">
        <v>133</v>
      </c>
      <c r="E2281">
        <v>44</v>
      </c>
      <c r="H2281">
        <v>131</v>
      </c>
      <c r="I2281" t="s">
        <v>134</v>
      </c>
      <c r="J2281" t="s">
        <v>135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>"14:54:28.430"</f>
        <v>14:54:28.430</v>
      </c>
      <c r="T2281" t="str">
        <f>"14:54:27.930"</f>
        <v>14:54:27.930</v>
      </c>
      <c r="U2281" t="str">
        <f t="shared" si="111"/>
        <v>A0F928</v>
      </c>
      <c r="V2281">
        <v>0</v>
      </c>
      <c r="W2281">
        <v>0</v>
      </c>
      <c r="X2281">
        <v>2</v>
      </c>
      <c r="Z2281">
        <v>0</v>
      </c>
      <c r="AA2281">
        <v>9</v>
      </c>
      <c r="AB2281">
        <v>3</v>
      </c>
      <c r="AC2281">
        <v>0</v>
      </c>
      <c r="AD2281">
        <v>10</v>
      </c>
      <c r="AE2281">
        <v>0</v>
      </c>
      <c r="AF2281">
        <v>3</v>
      </c>
      <c r="AG2281">
        <v>2</v>
      </c>
      <c r="AH2281">
        <v>1</v>
      </c>
      <c r="AI2281" t="s">
        <v>1172</v>
      </c>
      <c r="AJ2281">
        <v>35.836587000000002</v>
      </c>
      <c r="AK2281" t="s">
        <v>1173</v>
      </c>
      <c r="AL2281">
        <v>-83.957283000000004</v>
      </c>
      <c r="AM2281">
        <v>25</v>
      </c>
      <c r="AN2281">
        <v>950</v>
      </c>
      <c r="AO2281" t="s">
        <v>118</v>
      </c>
      <c r="AP2281">
        <v>-83</v>
      </c>
      <c r="AQ2281">
        <v>-43</v>
      </c>
      <c r="AR2281">
        <v>-576</v>
      </c>
      <c r="AZ2281">
        <v>300</v>
      </c>
      <c r="BA2281">
        <v>1</v>
      </c>
      <c r="BB2281" t="str">
        <f t="shared" si="110"/>
        <v xml:space="preserve">N162AM  </v>
      </c>
      <c r="BC2281">
        <v>1</v>
      </c>
      <c r="BE2281">
        <v>0</v>
      </c>
      <c r="BF2281">
        <v>0</v>
      </c>
      <c r="BG2281">
        <v>0</v>
      </c>
      <c r="BH2281">
        <v>1200</v>
      </c>
      <c r="BI2281">
        <v>1</v>
      </c>
      <c r="BJ2281">
        <v>1</v>
      </c>
      <c r="BK2281">
        <v>1</v>
      </c>
      <c r="BL2281">
        <v>0</v>
      </c>
      <c r="BO2281">
        <v>0</v>
      </c>
      <c r="BP2281">
        <v>0</v>
      </c>
      <c r="BW2281" t="str">
        <f>"14:54:28.437"</f>
        <v>14:54:28.437</v>
      </c>
      <c r="CJ2281">
        <v>3</v>
      </c>
      <c r="CK2281">
        <v>2</v>
      </c>
      <c r="CL2281">
        <v>0</v>
      </c>
      <c r="CM2281">
        <v>2</v>
      </c>
      <c r="CN2281">
        <v>0</v>
      </c>
      <c r="CO2281">
        <v>5</v>
      </c>
      <c r="CP2281" t="s">
        <v>119</v>
      </c>
      <c r="CQ2281">
        <v>232</v>
      </c>
      <c r="CR2281">
        <v>1</v>
      </c>
      <c r="CW2281">
        <v>15896451</v>
      </c>
      <c r="CY2281">
        <v>1</v>
      </c>
      <c r="CZ2281">
        <v>0</v>
      </c>
      <c r="DA2281">
        <v>1</v>
      </c>
      <c r="DB2281">
        <v>0</v>
      </c>
      <c r="DC2281">
        <v>0</v>
      </c>
      <c r="DD2281">
        <v>1</v>
      </c>
      <c r="DE2281">
        <v>0</v>
      </c>
      <c r="DF2281">
        <v>0</v>
      </c>
      <c r="DG2281">
        <v>0</v>
      </c>
      <c r="DH2281">
        <v>0</v>
      </c>
      <c r="DI2281">
        <v>0</v>
      </c>
    </row>
    <row r="2282" spans="1:113" x14ac:dyDescent="0.3">
      <c r="A2282" t="str">
        <f>"12/16/2021 14:54:29.649"</f>
        <v>12/16/2021 14:54:29.649</v>
      </c>
      <c r="C2282" t="str">
        <f t="shared" si="109"/>
        <v>FFDFD3C0</v>
      </c>
      <c r="D2282" t="s">
        <v>124</v>
      </c>
      <c r="E2282">
        <v>5</v>
      </c>
      <c r="F2282">
        <v>1005</v>
      </c>
      <c r="G2282" t="s">
        <v>114</v>
      </c>
      <c r="J2282" t="s">
        <v>125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>"14:54:29.391"</f>
        <v>14:54:29.391</v>
      </c>
      <c r="T2282" t="str">
        <f>"14:54:28.891"</f>
        <v>14:54:28.891</v>
      </c>
      <c r="U2282" t="str">
        <f t="shared" si="111"/>
        <v>A0F928</v>
      </c>
      <c r="V2282">
        <v>0</v>
      </c>
      <c r="W2282">
        <v>0</v>
      </c>
      <c r="X2282">
        <v>2</v>
      </c>
      <c r="Z2282">
        <v>0</v>
      </c>
      <c r="AA2282">
        <v>9</v>
      </c>
      <c r="AB2282">
        <v>3</v>
      </c>
      <c r="AC2282">
        <v>0</v>
      </c>
      <c r="AD2282">
        <v>10</v>
      </c>
      <c r="AE2282">
        <v>0</v>
      </c>
      <c r="AF2282">
        <v>3</v>
      </c>
      <c r="AG2282">
        <v>2</v>
      </c>
      <c r="AH2282">
        <v>1</v>
      </c>
      <c r="AI2282" t="s">
        <v>1174</v>
      </c>
      <c r="AJ2282">
        <v>35.836393999999999</v>
      </c>
      <c r="AK2282" t="s">
        <v>1175</v>
      </c>
      <c r="AL2282">
        <v>-83.957756000000003</v>
      </c>
      <c r="AM2282">
        <v>25</v>
      </c>
      <c r="AN2282">
        <v>950</v>
      </c>
      <c r="AO2282" t="s">
        <v>118</v>
      </c>
      <c r="AP2282">
        <v>-82</v>
      </c>
      <c r="AQ2282">
        <v>-45</v>
      </c>
      <c r="AR2282">
        <v>-512</v>
      </c>
      <c r="AZ2282">
        <v>300</v>
      </c>
      <c r="BA2282">
        <v>1</v>
      </c>
      <c r="BB2282" t="str">
        <f t="shared" si="110"/>
        <v xml:space="preserve">N162AM  </v>
      </c>
      <c r="BC2282">
        <v>1</v>
      </c>
      <c r="BE2282">
        <v>0</v>
      </c>
      <c r="BF2282">
        <v>0</v>
      </c>
      <c r="BG2282">
        <v>0</v>
      </c>
      <c r="BH2282">
        <v>1200</v>
      </c>
      <c r="BI2282">
        <v>1</v>
      </c>
      <c r="BJ2282">
        <v>1</v>
      </c>
      <c r="BK2282">
        <v>1</v>
      </c>
      <c r="BL2282">
        <v>0</v>
      </c>
      <c r="BO2282">
        <v>0</v>
      </c>
      <c r="BP2282">
        <v>0</v>
      </c>
      <c r="BW2282" t="str">
        <f>"14:54:29.394"</f>
        <v>14:54:29.394</v>
      </c>
      <c r="CJ2282">
        <v>3</v>
      </c>
      <c r="CK2282">
        <v>2</v>
      </c>
      <c r="CL2282">
        <v>0</v>
      </c>
      <c r="CM2282">
        <v>2</v>
      </c>
      <c r="CN2282">
        <v>0</v>
      </c>
      <c r="CO2282">
        <v>3</v>
      </c>
      <c r="CP2282" t="s">
        <v>119</v>
      </c>
      <c r="CQ2282">
        <v>232</v>
      </c>
      <c r="CR2282">
        <v>1</v>
      </c>
      <c r="CW2282">
        <v>15897820</v>
      </c>
      <c r="CY2282">
        <v>1</v>
      </c>
      <c r="CZ2282">
        <v>0</v>
      </c>
      <c r="DA2282">
        <v>0</v>
      </c>
      <c r="DB2282">
        <v>0</v>
      </c>
      <c r="DC2282">
        <v>0</v>
      </c>
      <c r="DD2282">
        <v>1</v>
      </c>
      <c r="DE2282">
        <v>0</v>
      </c>
      <c r="DF2282">
        <v>0</v>
      </c>
      <c r="DG2282">
        <v>0</v>
      </c>
      <c r="DH2282">
        <v>0</v>
      </c>
      <c r="DI2282">
        <v>0</v>
      </c>
    </row>
    <row r="2283" spans="1:113" x14ac:dyDescent="0.3">
      <c r="A2283" t="str">
        <f>"12/16/2021 14:54:29.649"</f>
        <v>12/16/2021 14:54:29.649</v>
      </c>
      <c r="C2283" t="str">
        <f t="shared" si="109"/>
        <v>FFDFD3C0</v>
      </c>
      <c r="D2283" t="s">
        <v>113</v>
      </c>
      <c r="E2283">
        <v>8</v>
      </c>
      <c r="H2283">
        <v>176</v>
      </c>
      <c r="I2283" t="s">
        <v>114</v>
      </c>
      <c r="J2283" t="s">
        <v>115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>"14:54:29.391"</f>
        <v>14:54:29.391</v>
      </c>
      <c r="T2283" t="str">
        <f>"14:54:28.891"</f>
        <v>14:54:28.891</v>
      </c>
      <c r="U2283" t="str">
        <f t="shared" si="111"/>
        <v>A0F928</v>
      </c>
      <c r="V2283">
        <v>0</v>
      </c>
      <c r="W2283">
        <v>0</v>
      </c>
      <c r="X2283">
        <v>2</v>
      </c>
      <c r="Z2283">
        <v>0</v>
      </c>
      <c r="AA2283">
        <v>9</v>
      </c>
      <c r="AB2283">
        <v>3</v>
      </c>
      <c r="AC2283">
        <v>0</v>
      </c>
      <c r="AD2283">
        <v>10</v>
      </c>
      <c r="AE2283">
        <v>0</v>
      </c>
      <c r="AF2283">
        <v>3</v>
      </c>
      <c r="AG2283">
        <v>2</v>
      </c>
      <c r="AH2283">
        <v>1</v>
      </c>
      <c r="AI2283" t="s">
        <v>1174</v>
      </c>
      <c r="AJ2283">
        <v>35.836393999999999</v>
      </c>
      <c r="AK2283" t="s">
        <v>1175</v>
      </c>
      <c r="AL2283">
        <v>-83.957756000000003</v>
      </c>
      <c r="AM2283">
        <v>25</v>
      </c>
      <c r="AN2283">
        <v>950</v>
      </c>
      <c r="AO2283" t="s">
        <v>118</v>
      </c>
      <c r="AP2283">
        <v>-82</v>
      </c>
      <c r="AQ2283">
        <v>-45</v>
      </c>
      <c r="AR2283">
        <v>-512</v>
      </c>
      <c r="AZ2283">
        <v>300</v>
      </c>
      <c r="BA2283">
        <v>1</v>
      </c>
      <c r="BB2283" t="str">
        <f t="shared" si="110"/>
        <v xml:space="preserve">N162AM  </v>
      </c>
      <c r="BC2283">
        <v>1</v>
      </c>
      <c r="BE2283">
        <v>0</v>
      </c>
      <c r="BF2283">
        <v>0</v>
      </c>
      <c r="BG2283">
        <v>0</v>
      </c>
      <c r="BH2283">
        <v>1200</v>
      </c>
      <c r="BI2283">
        <v>1</v>
      </c>
      <c r="BJ2283">
        <v>1</v>
      </c>
      <c r="BK2283">
        <v>1</v>
      </c>
      <c r="BL2283">
        <v>0</v>
      </c>
      <c r="BO2283">
        <v>0</v>
      </c>
      <c r="BP2283">
        <v>0</v>
      </c>
      <c r="BW2283" t="str">
        <f>"14:54:29.394"</f>
        <v>14:54:29.394</v>
      </c>
      <c r="CJ2283">
        <v>3</v>
      </c>
      <c r="CK2283">
        <v>2</v>
      </c>
      <c r="CL2283">
        <v>0</v>
      </c>
      <c r="CM2283">
        <v>2</v>
      </c>
      <c r="CN2283">
        <v>0</v>
      </c>
      <c r="CO2283">
        <v>3</v>
      </c>
      <c r="CP2283" t="s">
        <v>119</v>
      </c>
      <c r="CQ2283">
        <v>232</v>
      </c>
      <c r="CR2283">
        <v>1</v>
      </c>
      <c r="CW2283">
        <v>15897820</v>
      </c>
      <c r="CY2283">
        <v>1</v>
      </c>
      <c r="CZ2283">
        <v>0</v>
      </c>
      <c r="DA2283">
        <v>1</v>
      </c>
      <c r="DB2283">
        <v>0</v>
      </c>
      <c r="DC2283">
        <v>0</v>
      </c>
      <c r="DD2283">
        <v>1</v>
      </c>
      <c r="DE2283">
        <v>0</v>
      </c>
      <c r="DF2283">
        <v>0</v>
      </c>
      <c r="DG2283">
        <v>0</v>
      </c>
      <c r="DH2283">
        <v>0</v>
      </c>
      <c r="DI2283">
        <v>0</v>
      </c>
    </row>
    <row r="2284" spans="1:113" x14ac:dyDescent="0.3">
      <c r="A2284" t="str">
        <f>"12/16/2021 14:54:29.664"</f>
        <v>12/16/2021 14:54:29.664</v>
      </c>
      <c r="C2284" t="str">
        <f t="shared" si="109"/>
        <v>FFDFD3C0</v>
      </c>
      <c r="D2284" t="s">
        <v>133</v>
      </c>
      <c r="E2284">
        <v>44</v>
      </c>
      <c r="H2284">
        <v>131</v>
      </c>
      <c r="I2284" t="s">
        <v>134</v>
      </c>
      <c r="J2284" t="s">
        <v>135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>"14:54:29.391"</f>
        <v>14:54:29.391</v>
      </c>
      <c r="T2284" t="str">
        <f>"14:54:28.891"</f>
        <v>14:54:28.891</v>
      </c>
      <c r="U2284" t="str">
        <f t="shared" si="111"/>
        <v>A0F928</v>
      </c>
      <c r="V2284">
        <v>0</v>
      </c>
      <c r="W2284">
        <v>0</v>
      </c>
      <c r="X2284">
        <v>2</v>
      </c>
      <c r="Z2284">
        <v>0</v>
      </c>
      <c r="AA2284">
        <v>9</v>
      </c>
      <c r="AB2284">
        <v>3</v>
      </c>
      <c r="AC2284">
        <v>0</v>
      </c>
      <c r="AD2284">
        <v>10</v>
      </c>
      <c r="AE2284">
        <v>0</v>
      </c>
      <c r="AF2284">
        <v>3</v>
      </c>
      <c r="AG2284">
        <v>2</v>
      </c>
      <c r="AH2284">
        <v>1</v>
      </c>
      <c r="AI2284" t="s">
        <v>1174</v>
      </c>
      <c r="AJ2284">
        <v>35.836393999999999</v>
      </c>
      <c r="AK2284" t="s">
        <v>1175</v>
      </c>
      <c r="AL2284">
        <v>-83.957756000000003</v>
      </c>
      <c r="AM2284">
        <v>25</v>
      </c>
      <c r="AN2284">
        <v>950</v>
      </c>
      <c r="AO2284" t="s">
        <v>118</v>
      </c>
      <c r="AP2284">
        <v>-82</v>
      </c>
      <c r="AQ2284">
        <v>-45</v>
      </c>
      <c r="AR2284">
        <v>-512</v>
      </c>
      <c r="AZ2284">
        <v>300</v>
      </c>
      <c r="BA2284">
        <v>1</v>
      </c>
      <c r="BB2284" t="str">
        <f t="shared" si="110"/>
        <v xml:space="preserve">N162AM  </v>
      </c>
      <c r="BC2284">
        <v>1</v>
      </c>
      <c r="BE2284">
        <v>0</v>
      </c>
      <c r="BF2284">
        <v>0</v>
      </c>
      <c r="BG2284">
        <v>0</v>
      </c>
      <c r="BH2284">
        <v>1200</v>
      </c>
      <c r="BI2284">
        <v>1</v>
      </c>
      <c r="BJ2284">
        <v>1</v>
      </c>
      <c r="BK2284">
        <v>1</v>
      </c>
      <c r="BL2284">
        <v>0</v>
      </c>
      <c r="BO2284">
        <v>0</v>
      </c>
      <c r="BP2284">
        <v>0</v>
      </c>
      <c r="BW2284" t="str">
        <f>"14:54:29.394"</f>
        <v>14:54:29.394</v>
      </c>
      <c r="CJ2284">
        <v>3</v>
      </c>
      <c r="CK2284">
        <v>2</v>
      </c>
      <c r="CL2284">
        <v>0</v>
      </c>
      <c r="CM2284">
        <v>2</v>
      </c>
      <c r="CN2284">
        <v>0</v>
      </c>
      <c r="CO2284">
        <v>3</v>
      </c>
      <c r="CP2284" t="s">
        <v>119</v>
      </c>
      <c r="CQ2284">
        <v>232</v>
      </c>
      <c r="CR2284">
        <v>1</v>
      </c>
      <c r="CW2284">
        <v>15897820</v>
      </c>
      <c r="CY2284">
        <v>1</v>
      </c>
      <c r="CZ2284">
        <v>0</v>
      </c>
      <c r="DA2284">
        <v>1</v>
      </c>
      <c r="DB2284">
        <v>0</v>
      </c>
      <c r="DC2284">
        <v>0</v>
      </c>
      <c r="DD2284">
        <v>1</v>
      </c>
      <c r="DE2284">
        <v>0</v>
      </c>
      <c r="DF2284">
        <v>0</v>
      </c>
      <c r="DG2284">
        <v>0</v>
      </c>
      <c r="DH2284">
        <v>0</v>
      </c>
      <c r="DI2284">
        <v>0</v>
      </c>
    </row>
    <row r="2285" spans="1:113" x14ac:dyDescent="0.3">
      <c r="A2285" t="str">
        <f>"12/16/2021 14:54:29.742"</f>
        <v>12/16/2021 14:54:29.742</v>
      </c>
      <c r="C2285" t="str">
        <f t="shared" si="109"/>
        <v>FFDFD3C0</v>
      </c>
      <c r="D2285" t="s">
        <v>124</v>
      </c>
      <c r="E2285">
        <v>10</v>
      </c>
      <c r="F2285">
        <v>1010</v>
      </c>
      <c r="G2285" t="s">
        <v>130</v>
      </c>
      <c r="J2285" t="s">
        <v>125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>"14:54:29.391"</f>
        <v>14:54:29.391</v>
      </c>
      <c r="T2285" t="str">
        <f>"14:54:28.891"</f>
        <v>14:54:28.891</v>
      </c>
      <c r="U2285" t="str">
        <f t="shared" si="111"/>
        <v>A0F928</v>
      </c>
      <c r="V2285">
        <v>0</v>
      </c>
      <c r="W2285">
        <v>0</v>
      </c>
      <c r="X2285">
        <v>2</v>
      </c>
      <c r="Z2285">
        <v>0</v>
      </c>
      <c r="AA2285">
        <v>9</v>
      </c>
      <c r="AB2285">
        <v>3</v>
      </c>
      <c r="AC2285">
        <v>0</v>
      </c>
      <c r="AD2285">
        <v>10</v>
      </c>
      <c r="AE2285">
        <v>0</v>
      </c>
      <c r="AF2285">
        <v>0</v>
      </c>
      <c r="AG2285">
        <v>2</v>
      </c>
      <c r="AH2285">
        <v>1</v>
      </c>
      <c r="AI2285" t="s">
        <v>1174</v>
      </c>
      <c r="AJ2285">
        <v>35.836393999999999</v>
      </c>
      <c r="AK2285" t="s">
        <v>1175</v>
      </c>
      <c r="AL2285">
        <v>-83.957756000000003</v>
      </c>
      <c r="AM2285">
        <v>25</v>
      </c>
      <c r="AN2285">
        <v>950</v>
      </c>
      <c r="AO2285" t="s">
        <v>118</v>
      </c>
      <c r="AP2285">
        <v>-82</v>
      </c>
      <c r="AQ2285">
        <v>-45</v>
      </c>
      <c r="AR2285">
        <v>-512</v>
      </c>
      <c r="AZ2285">
        <v>300</v>
      </c>
      <c r="BA2285">
        <v>1</v>
      </c>
      <c r="BB2285" t="str">
        <f t="shared" si="110"/>
        <v xml:space="preserve">N162AM  </v>
      </c>
      <c r="BC2285">
        <v>1</v>
      </c>
      <c r="BE2285">
        <v>0</v>
      </c>
      <c r="BF2285">
        <v>0</v>
      </c>
      <c r="BG2285">
        <v>0</v>
      </c>
      <c r="BH2285">
        <v>1200</v>
      </c>
      <c r="BI2285">
        <v>1</v>
      </c>
      <c r="BJ2285">
        <v>1</v>
      </c>
      <c r="BK2285">
        <v>1</v>
      </c>
      <c r="BL2285">
        <v>0</v>
      </c>
      <c r="BO2285">
        <v>0</v>
      </c>
      <c r="BP2285">
        <v>0</v>
      </c>
      <c r="BW2285" t="str">
        <f>"14:54:29.394"</f>
        <v>14:54:29.394</v>
      </c>
      <c r="CJ2285">
        <v>2</v>
      </c>
      <c r="CK2285">
        <v>2</v>
      </c>
      <c r="CL2285">
        <v>0</v>
      </c>
      <c r="CM2285">
        <v>2</v>
      </c>
      <c r="CN2285">
        <v>0</v>
      </c>
      <c r="CO2285">
        <v>3</v>
      </c>
      <c r="CP2285" t="s">
        <v>119</v>
      </c>
      <c r="CQ2285">
        <v>232</v>
      </c>
      <c r="CR2285">
        <v>1</v>
      </c>
      <c r="CW2285">
        <v>15897820</v>
      </c>
      <c r="CY2285">
        <v>1</v>
      </c>
      <c r="CZ2285">
        <v>0</v>
      </c>
      <c r="DA2285">
        <v>1</v>
      </c>
      <c r="DB2285">
        <v>0</v>
      </c>
      <c r="DC2285">
        <v>0</v>
      </c>
      <c r="DD2285">
        <v>1</v>
      </c>
      <c r="DE2285">
        <v>0</v>
      </c>
      <c r="DF2285">
        <v>0</v>
      </c>
      <c r="DG2285">
        <v>0</v>
      </c>
      <c r="DH2285">
        <v>0</v>
      </c>
      <c r="DI22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20211216_A0F928_472048520_ADSB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2021-12-21T15:34:50Z</dcterms:created>
  <dcterms:modified xsi:type="dcterms:W3CDTF">2021-12-21T15:34:50Z</dcterms:modified>
</cp:coreProperties>
</file>